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8_{D5050C12-7224-44B6-AA45-14715E7AE548}" xr6:coauthVersionLast="47" xr6:coauthVersionMax="47" xr10:uidLastSave="{00000000-0000-0000-0000-000000000000}"/>
  <workbookProtection workbookPassword="C172" lockStructure="1"/>
  <bookViews>
    <workbookView xWindow="28680" yWindow="-120" windowWidth="29040" windowHeight="15840" firstSheet="2" activeTab="2"/>
  </bookViews>
  <sheets>
    <sheet name="Drop down lists" sheetId="1" state="hidden" r:id="rId1"/>
    <sheet name="ONS data" sheetId="2" state="hidden" r:id="rId2"/>
    <sheet name="Affordability Calculator" sheetId="8" r:id="rId3"/>
    <sheet name="Sheet2" sheetId="5" state="hidden" r:id="rId4"/>
    <sheet name="Sheet3" sheetId="6" state="hidden" r:id="rId5"/>
  </sheets>
  <calcPr calcId="191029"/>
  <customWorkbookViews>
    <customWorkbookView name="Andrew Sunter - Personal View" guid="{4D5D8FA7-F3F0-4AE1-8C5F-00D21D6271E7}" mergeInterval="0" personalView="1" maximized="1" windowWidth="1280" windowHeight="79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8" l="1"/>
  <c r="F36" i="8"/>
  <c r="D38" i="8"/>
  <c r="C43" i="8"/>
  <c r="C42" i="8"/>
  <c r="C41" i="8"/>
  <c r="C40" i="8"/>
  <c r="H7" i="8"/>
  <c r="F17" i="8"/>
  <c r="F19" i="8"/>
  <c r="D41" i="8"/>
  <c r="D3" i="8"/>
  <c r="W9" i="2"/>
  <c r="V9" i="2"/>
  <c r="B52" i="2"/>
  <c r="C6" i="2"/>
  <c r="C7" i="2"/>
  <c r="C8" i="2"/>
  <c r="B6" i="2"/>
  <c r="B7" i="2"/>
  <c r="B8" i="2"/>
  <c r="B27" i="2"/>
  <c r="B26" i="2"/>
  <c r="B25" i="2"/>
  <c r="B24" i="2"/>
  <c r="L8" i="2"/>
  <c r="H7" i="2"/>
  <c r="F7" i="2"/>
  <c r="K7" i="2"/>
  <c r="L7" i="2"/>
  <c r="E7" i="2"/>
  <c r="C3" i="2"/>
  <c r="D3" i="2"/>
  <c r="E3" i="2"/>
  <c r="F3" i="2"/>
  <c r="G3" i="2"/>
  <c r="H3" i="2"/>
  <c r="I3" i="2"/>
  <c r="J3" i="2"/>
  <c r="K3" i="2"/>
  <c r="L3" i="2"/>
  <c r="M3" i="2"/>
  <c r="C4" i="2"/>
  <c r="D4" i="2"/>
  <c r="E4" i="2"/>
  <c r="F4" i="2"/>
  <c r="G4" i="2"/>
  <c r="H4" i="2"/>
  <c r="I4" i="2"/>
  <c r="J4" i="2"/>
  <c r="K4" i="2"/>
  <c r="L4" i="2"/>
  <c r="M4" i="2"/>
  <c r="C5" i="2"/>
  <c r="D5" i="2"/>
  <c r="E5" i="2"/>
  <c r="F5" i="2"/>
  <c r="G5" i="2"/>
  <c r="H5" i="2"/>
  <c r="I5" i="2"/>
  <c r="J5" i="2"/>
  <c r="K5" i="2"/>
  <c r="L5" i="2"/>
  <c r="M5" i="2"/>
  <c r="D6" i="2"/>
  <c r="E6" i="2"/>
  <c r="F6" i="2"/>
  <c r="G6" i="2"/>
  <c r="H6" i="2"/>
  <c r="I6" i="2"/>
  <c r="J6" i="2"/>
  <c r="K6" i="2"/>
  <c r="L6" i="2"/>
  <c r="M6" i="2"/>
  <c r="D7" i="2"/>
  <c r="G7" i="2"/>
  <c r="I7" i="2"/>
  <c r="J7" i="2"/>
  <c r="M7" i="2"/>
  <c r="D8" i="2"/>
  <c r="E8" i="2"/>
  <c r="F8" i="2"/>
  <c r="G8" i="2"/>
  <c r="H8" i="2"/>
  <c r="I8" i="2"/>
  <c r="J8" i="2"/>
  <c r="K8" i="2"/>
  <c r="M8" i="2"/>
  <c r="B4" i="2"/>
  <c r="B5" i="2"/>
  <c r="B3" i="2"/>
  <c r="AG1" i="2"/>
  <c r="AF1" i="2"/>
  <c r="AE1" i="2"/>
  <c r="AB1" i="2"/>
  <c r="AA1" i="2"/>
  <c r="Y1" i="2"/>
  <c r="X1" i="2"/>
  <c r="B32" i="2"/>
  <c r="D1" i="2"/>
  <c r="E1" i="2"/>
  <c r="G1" i="2"/>
  <c r="H1" i="2"/>
  <c r="K1" i="2"/>
  <c r="L1" i="2"/>
  <c r="M1" i="2"/>
  <c r="N2" i="2"/>
  <c r="N3" i="2"/>
  <c r="N4" i="2"/>
  <c r="N5" i="2"/>
  <c r="N6" i="2"/>
  <c r="N7" i="2"/>
  <c r="B10" i="2"/>
  <c r="B38" i="2"/>
  <c r="B16" i="2"/>
  <c r="B17" i="2"/>
  <c r="B31" i="2"/>
  <c r="B30" i="2"/>
  <c r="B13" i="2"/>
  <c r="B35" i="2"/>
  <c r="B12" i="2"/>
  <c r="B42" i="2"/>
  <c r="B46" i="2"/>
  <c r="B43" i="2"/>
  <c r="B44" i="2"/>
  <c r="B47" i="2"/>
  <c r="B48" i="2"/>
  <c r="B51" i="2"/>
  <c r="B45" i="2"/>
  <c r="B33" i="2"/>
  <c r="B14" i="2"/>
  <c r="B39" i="2"/>
  <c r="B40" i="2"/>
  <c r="B36" i="2"/>
  <c r="B37" i="2"/>
  <c r="G17" i="8"/>
  <c r="F35" i="8"/>
  <c r="H36" i="8"/>
  <c r="H35" i="8"/>
  <c r="J36" i="8"/>
  <c r="J35" i="8"/>
  <c r="D36" i="8"/>
  <c r="D35" i="8"/>
  <c r="H25" i="8"/>
  <c r="G24" i="8"/>
  <c r="I21" i="8"/>
</calcChain>
</file>

<file path=xl/sharedStrings.xml><?xml version="1.0" encoding="utf-8"?>
<sst xmlns="http://schemas.openxmlformats.org/spreadsheetml/2006/main" count="115" uniqueCount="89">
  <si>
    <t>Utility Bills</t>
  </si>
  <si>
    <t>Other</t>
  </si>
  <si>
    <t>Food &amp; Non-alcoholic Drinks</t>
  </si>
  <si>
    <t>Clothing &amp; Footwear</t>
  </si>
  <si>
    <t>Household Goods &amp; Services</t>
  </si>
  <si>
    <t>Health</t>
  </si>
  <si>
    <t>Total Monthly Surplus</t>
  </si>
  <si>
    <t>Affordability Percentage</t>
  </si>
  <si>
    <t>Stress Rate Percentage Used</t>
  </si>
  <si>
    <t>Expenditure Category - Monthly</t>
  </si>
  <si>
    <t>1 Adult</t>
  </si>
  <si>
    <t>2 Adults</t>
  </si>
  <si>
    <t>1None</t>
  </si>
  <si>
    <t>2None</t>
  </si>
  <si>
    <t>23+</t>
  </si>
  <si>
    <t>3None</t>
  </si>
  <si>
    <t>No. Adults</t>
  </si>
  <si>
    <t>No. Dependents</t>
  </si>
  <si>
    <t>3+</t>
  </si>
  <si>
    <t>None</t>
  </si>
  <si>
    <t xml:space="preserve">Monthly Payment - Repayment </t>
  </si>
  <si>
    <t>Monthly Payment - Interest Only</t>
  </si>
  <si>
    <t>Total Monthly Payment</t>
  </si>
  <si>
    <t>House Purchase</t>
  </si>
  <si>
    <t>Remortgage</t>
  </si>
  <si>
    <t>Travel - Customer or ONS</t>
  </si>
  <si>
    <t>Council Tax - Customer or ONS</t>
  </si>
  <si>
    <t>Utility Bills - Customer or ONS</t>
  </si>
  <si>
    <t>Council Tax - ONS</t>
  </si>
  <si>
    <t>Utility Bills - ONS</t>
  </si>
  <si>
    <t>Concat - Customer Composition</t>
  </si>
  <si>
    <t>Food &amp; non-alcoholic drinks</t>
  </si>
  <si>
    <t>Clothing &amp; footwear</t>
  </si>
  <si>
    <t>Household goods &amp; services</t>
  </si>
  <si>
    <t>Mortgage type</t>
  </si>
  <si>
    <t>13+</t>
  </si>
  <si>
    <t>Property type</t>
  </si>
  <si>
    <t>Property Type</t>
  </si>
  <si>
    <t>Application Type</t>
  </si>
  <si>
    <t>Terrace</t>
  </si>
  <si>
    <t>Semi-detached</t>
  </si>
  <si>
    <t>Detached</t>
  </si>
  <si>
    <t xml:space="preserve">Council Tax </t>
  </si>
  <si>
    <t xml:space="preserve">Travel </t>
  </si>
  <si>
    <t>Flat</t>
  </si>
  <si>
    <t>Travel/Transport - 50% ONS</t>
  </si>
  <si>
    <t>Total</t>
  </si>
  <si>
    <t>MBS Affordability 2017 (based on 2016 data)</t>
  </si>
  <si>
    <t>Housing(net)1, fuel &amp; power - 50% (utilities)</t>
  </si>
  <si>
    <t>Affordability result</t>
  </si>
  <si>
    <t>Income multiple result</t>
  </si>
  <si>
    <t xml:space="preserve">FOR INTERMEDIARY PROFESSIONALS ONLY </t>
  </si>
  <si>
    <t>Travel/Transport - ONS</t>
  </si>
  <si>
    <r>
      <t>Housing(net)</t>
    </r>
    <r>
      <rPr>
        <vertAlign val="superscript"/>
        <sz val="10"/>
        <color indexed="8"/>
        <rFont val="Calibri"/>
        <family val="2"/>
      </rPr>
      <t>1</t>
    </r>
    <r>
      <rPr>
        <sz val="10"/>
        <color indexed="8"/>
        <rFont val="Calibri"/>
        <family val="2"/>
      </rPr>
      <t>, fuel &amp; power - (utilities)</t>
    </r>
  </si>
  <si>
    <t xml:space="preserve">  Is the property a flat/maisonette?</t>
  </si>
  <si>
    <t xml:space="preserve">  Property details</t>
  </si>
  <si>
    <t xml:space="preserve">  Results</t>
  </si>
  <si>
    <t xml:space="preserve">  Thank you for providing your information.</t>
  </si>
  <si>
    <t xml:space="preserve">  Based on the details provided, the affordability result is:</t>
  </si>
  <si>
    <t xml:space="preserve">    Date produced:</t>
  </si>
  <si>
    <t xml:space="preserve">  Select 'Yes' or 'No' from the drop-down list.</t>
  </si>
  <si>
    <t>Rental Stress</t>
  </si>
  <si>
    <t>Maximum LTV</t>
  </si>
  <si>
    <t xml:space="preserve">  Per month.</t>
  </si>
  <si>
    <t xml:space="preserve">  Property value</t>
  </si>
  <si>
    <t xml:space="preserve">  Loan size</t>
  </si>
  <si>
    <t xml:space="preserve">  Rent received</t>
  </si>
  <si>
    <t xml:space="preserve">      Please note, this calculator is to be used for basic UK tax payers only, and should not be used for top slicing cases.</t>
  </si>
  <si>
    <t>Stress Rate</t>
  </si>
  <si>
    <t>ICR 125%</t>
  </si>
  <si>
    <t>ICR 145%</t>
  </si>
  <si>
    <t>ICR 115%</t>
  </si>
  <si>
    <t>ICR 100%</t>
  </si>
  <si>
    <t>LTV</t>
  </si>
  <si>
    <t>Shortfall ICR 100%</t>
  </si>
  <si>
    <t>Shortfall ICR 115%</t>
  </si>
  <si>
    <t>Shortfall ICR 125%</t>
  </si>
  <si>
    <t>Shortfall ICR 145%</t>
  </si>
  <si>
    <t>BTL Shortfall per month</t>
  </si>
  <si>
    <t>Product Interest Rate</t>
  </si>
  <si>
    <r>
      <t xml:space="preserve">Are you a </t>
    </r>
    <r>
      <rPr>
        <b/>
        <sz val="9"/>
        <rFont val="Arial"/>
        <family val="2"/>
      </rPr>
      <t>UK</t>
    </r>
    <r>
      <rPr>
        <sz val="9"/>
        <rFont val="Arial"/>
        <family val="2"/>
      </rPr>
      <t xml:space="preserve"> Basic Rate Tax Payer?</t>
    </r>
  </si>
  <si>
    <t>Is the product a 5 year fixed?</t>
  </si>
  <si>
    <t xml:space="preserve">  Affordability Calculator: Expat Buy to Let - v1.2</t>
  </si>
  <si>
    <t>*Please note that for like for like remortgage cases, the application must be a true Buy to Let remortgage.                                                                        Consent to lets on a residential mortgage are not eligbile</t>
  </si>
  <si>
    <t>Is this a like for like remortgage* (LTV not exceeding 60%)</t>
  </si>
  <si>
    <t>Affordability Calculator: Expat Buy to Let - v16a</t>
  </si>
  <si>
    <t xml:space="preserve"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24.10.2024
^Calls will be recorded and may be monitored. </t>
  </si>
  <si>
    <t>No</t>
  </si>
  <si>
    <r>
      <t xml:space="preserve">t </t>
    </r>
    <r>
      <rPr>
        <sz val="9"/>
        <rFont val="Calibri"/>
        <family val="2"/>
      </rPr>
      <t xml:space="preserve">01282 440583^  </t>
    </r>
    <r>
      <rPr>
        <b/>
        <sz val="9"/>
        <rFont val="Calibri"/>
        <family val="2"/>
      </rPr>
      <t xml:space="preserve">e </t>
    </r>
    <r>
      <rPr>
        <sz val="9"/>
        <rFont val="Calibri"/>
        <family val="2"/>
      </rPr>
      <t>intermediaries@themarsden.co.uk  w www.marsdenintermediaires.co.uk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</si>
</sst>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164" formatCode="&quot;£&quot;#,##0.00"/>
    <numFmt numFmtId="165" formatCode="General_)"/>
    <numFmt numFmtId="167" formatCode="&quot;£&quot;#,##0"/>
    <numFmt numFmtId="174" formatCode="0.0"/>
  </numFmts>
  <fonts count="4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b/>
      <sz val="8"/>
      <color indexed="3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30"/>
      <name val="Calibri"/>
      <family val="2"/>
    </font>
    <font>
      <sz val="18"/>
      <color indexed="8"/>
      <name val="Calibri"/>
      <family val="2"/>
    </font>
    <font>
      <sz val="9"/>
      <name val="Calibri"/>
      <family val="2"/>
    </font>
    <font>
      <i/>
      <sz val="9"/>
      <name val="Arial"/>
      <family val="2"/>
    </font>
    <font>
      <b/>
      <sz val="9"/>
      <name val="Calibri"/>
      <family val="2"/>
    </font>
    <font>
      <b/>
      <sz val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0"/>
      <name val="Arial"/>
      <family val="2"/>
    </font>
    <font>
      <sz val="10"/>
      <color theme="1"/>
      <name val="Cambria"/>
      <family val="1"/>
    </font>
    <font>
      <sz val="18"/>
      <color theme="1"/>
      <name val="Calibri"/>
      <family val="2"/>
    </font>
    <font>
      <sz val="9"/>
      <color theme="0"/>
      <name val="Cambria"/>
      <family val="1"/>
    </font>
    <font>
      <sz val="6"/>
      <color theme="0"/>
      <name val="Cambria"/>
      <family val="1"/>
    </font>
    <font>
      <sz val="10"/>
      <color theme="0"/>
      <name val="Cambria"/>
      <family val="1"/>
    </font>
    <font>
      <sz val="6"/>
      <color theme="0"/>
      <name val="Calibri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thick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0" fontId="3" fillId="0" borderId="0" applyFont="0" applyFill="0" applyBorder="0" applyAlignment="0" applyProtection="0"/>
    <xf numFmtId="0" fontId="1" fillId="0" borderId="0"/>
    <xf numFmtId="165" fontId="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>
      <alignment horizontal="left" wrapText="1"/>
    </xf>
  </cellStyleXfs>
  <cellXfs count="1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2" xfId="3" applyNumberFormat="1" applyFont="1" applyFill="1" applyBorder="1" applyAlignment="1">
      <alignment horizontal="center" wrapText="1"/>
    </xf>
    <xf numFmtId="165" fontId="4" fillId="3" borderId="3" xfId="3" applyFont="1" applyFill="1" applyBorder="1" applyAlignment="1">
      <alignment horizontal="left" vertical="top" wrapText="1" readingOrder="1"/>
    </xf>
    <xf numFmtId="165" fontId="5" fillId="3" borderId="4" xfId="3" applyFont="1" applyFill="1" applyBorder="1" applyAlignment="1">
      <alignment horizontal="center" vertical="center" wrapText="1"/>
    </xf>
    <xf numFmtId="165" fontId="5" fillId="3" borderId="5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Fill="1" applyBorder="1"/>
    <xf numFmtId="165" fontId="7" fillId="2" borderId="0" xfId="3" applyFont="1" applyFill="1" applyBorder="1" applyAlignment="1">
      <alignment horizontal="left" vertical="center" wrapText="1" readingOrder="1"/>
    </xf>
    <xf numFmtId="165" fontId="6" fillId="2" borderId="6" xfId="3" applyFont="1" applyFill="1" applyBorder="1" applyAlignment="1">
      <alignment horizontal="left" vertical="center" wrapText="1" readingOrder="1"/>
    </xf>
    <xf numFmtId="0" fontId="11" fillId="0" borderId="7" xfId="6" applyFont="1" applyBorder="1"/>
    <xf numFmtId="0" fontId="11" fillId="0" borderId="8" xfId="6" applyFont="1" applyBorder="1"/>
    <xf numFmtId="0" fontId="0" fillId="2" borderId="0" xfId="0" applyFill="1" applyProtection="1"/>
    <xf numFmtId="0" fontId="0" fillId="2" borderId="0" xfId="0" applyFill="1" applyBorder="1" applyProtection="1"/>
    <xf numFmtId="164" fontId="5" fillId="2" borderId="9" xfId="3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11" xfId="0" applyFont="1" applyBorder="1"/>
    <xf numFmtId="0" fontId="1" fillId="0" borderId="10" xfId="0" applyFont="1" applyBorder="1"/>
    <xf numFmtId="0" fontId="0" fillId="0" borderId="10" xfId="0" applyFont="1" applyFill="1" applyBorder="1" applyAlignment="1">
      <alignment horizontal="left"/>
    </xf>
    <xf numFmtId="10" fontId="0" fillId="0" borderId="14" xfId="0" applyNumberFormat="1" applyBorder="1"/>
    <xf numFmtId="10" fontId="0" fillId="0" borderId="15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8" xfId="6" applyFont="1" applyBorder="1"/>
    <xf numFmtId="0" fontId="0" fillId="6" borderId="0" xfId="0" applyFill="1"/>
    <xf numFmtId="0" fontId="1" fillId="6" borderId="0" xfId="0" applyFont="1" applyFill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6" borderId="0" xfId="0" applyFont="1" applyFill="1" applyAlignment="1">
      <alignment horizontal="center"/>
    </xf>
    <xf numFmtId="165" fontId="6" fillId="3" borderId="4" xfId="3" applyFont="1" applyFill="1" applyBorder="1" applyAlignment="1">
      <alignment horizontal="center" vertical="center" wrapText="1"/>
    </xf>
    <xf numFmtId="165" fontId="6" fillId="3" borderId="5" xfId="3" applyFont="1" applyFill="1" applyBorder="1" applyAlignment="1">
      <alignment horizontal="center" vertical="center" wrapText="1"/>
    </xf>
    <xf numFmtId="0" fontId="29" fillId="6" borderId="16" xfId="6" applyFont="1" applyFill="1" applyBorder="1"/>
    <xf numFmtId="164" fontId="6" fillId="6" borderId="9" xfId="3" applyNumberFormat="1" applyFont="1" applyFill="1" applyBorder="1" applyAlignment="1">
      <alignment horizontal="center" wrapText="1"/>
    </xf>
    <xf numFmtId="164" fontId="6" fillId="6" borderId="2" xfId="3" applyNumberFormat="1" applyFont="1" applyFill="1" applyBorder="1" applyAlignment="1">
      <alignment horizontal="center" wrapText="1"/>
    </xf>
    <xf numFmtId="164" fontId="6" fillId="6" borderId="17" xfId="3" applyNumberFormat="1" applyFont="1" applyFill="1" applyBorder="1" applyAlignment="1">
      <alignment horizontal="center" wrapText="1"/>
    </xf>
    <xf numFmtId="164" fontId="6" fillId="6" borderId="18" xfId="3" applyNumberFormat="1" applyFont="1" applyFill="1" applyBorder="1" applyAlignment="1">
      <alignment horizontal="center" wrapText="1"/>
    </xf>
    <xf numFmtId="165" fontId="6" fillId="6" borderId="16" xfId="3" applyFont="1" applyFill="1" applyBorder="1" applyAlignment="1">
      <alignment horizontal="left" vertical="center" wrapText="1" readingOrder="1"/>
    </xf>
    <xf numFmtId="164" fontId="6" fillId="6" borderId="19" xfId="3" applyNumberFormat="1" applyFont="1" applyFill="1" applyBorder="1" applyAlignment="1">
      <alignment horizontal="center" wrapText="1"/>
    </xf>
    <xf numFmtId="164" fontId="6" fillId="6" borderId="1" xfId="3" applyNumberFormat="1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left" vertical="center" wrapText="1" readingOrder="1"/>
    </xf>
    <xf numFmtId="164" fontId="13" fillId="2" borderId="21" xfId="0" applyNumberFormat="1" applyFont="1" applyFill="1" applyBorder="1" applyAlignment="1">
      <alignment horizontal="center" wrapText="1"/>
    </xf>
    <xf numFmtId="164" fontId="13" fillId="2" borderId="22" xfId="0" applyNumberFormat="1" applyFont="1" applyFill="1" applyBorder="1" applyAlignment="1">
      <alignment horizontal="center" wrapText="1"/>
    </xf>
    <xf numFmtId="164" fontId="5" fillId="2" borderId="23" xfId="3" applyNumberFormat="1" applyFont="1" applyFill="1" applyBorder="1" applyAlignment="1">
      <alignment horizontal="center" wrapText="1"/>
    </xf>
    <xf numFmtId="164" fontId="5" fillId="2" borderId="24" xfId="3" applyNumberFormat="1" applyFont="1" applyFill="1" applyBorder="1" applyAlignment="1">
      <alignment horizontal="center" wrapText="1"/>
    </xf>
    <xf numFmtId="164" fontId="5" fillId="2" borderId="25" xfId="3" applyNumberFormat="1" applyFont="1" applyFill="1" applyBorder="1" applyAlignment="1">
      <alignment horizontal="center" wrapText="1"/>
    </xf>
    <xf numFmtId="164" fontId="5" fillId="2" borderId="26" xfId="3" applyNumberFormat="1" applyFont="1" applyFill="1" applyBorder="1" applyAlignment="1">
      <alignment horizontal="center" wrapText="1"/>
    </xf>
    <xf numFmtId="164" fontId="5" fillId="2" borderId="20" xfId="3" applyNumberFormat="1" applyFont="1" applyFill="1" applyBorder="1" applyAlignment="1">
      <alignment horizontal="center" wrapText="1"/>
    </xf>
    <xf numFmtId="164" fontId="5" fillId="2" borderId="27" xfId="3" applyNumberFormat="1" applyFont="1" applyFill="1" applyBorder="1" applyAlignment="1">
      <alignment horizontal="center" wrapText="1"/>
    </xf>
    <xf numFmtId="8" fontId="0" fillId="4" borderId="15" xfId="0" applyNumberFormat="1" applyFill="1" applyBorder="1" applyAlignment="1">
      <alignment horizontal="center"/>
    </xf>
    <xf numFmtId="8" fontId="0" fillId="5" borderId="14" xfId="0" applyNumberFormat="1" applyFill="1" applyBorder="1" applyAlignment="1">
      <alignment horizontal="center"/>
    </xf>
    <xf numFmtId="8" fontId="0" fillId="7" borderId="13" xfId="0" applyNumberFormat="1" applyFill="1" applyBorder="1" applyAlignment="1">
      <alignment horizontal="center"/>
    </xf>
    <xf numFmtId="8" fontId="0" fillId="7" borderId="15" xfId="0" applyNumberFormat="1" applyFill="1" applyBorder="1" applyAlignment="1">
      <alignment horizontal="center"/>
    </xf>
    <xf numFmtId="10" fontId="0" fillId="0" borderId="0" xfId="0" applyNumberFormat="1" applyBorder="1"/>
    <xf numFmtId="0" fontId="0" fillId="2" borderId="0" xfId="0" applyFill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0" fillId="2" borderId="0" xfId="0" applyFill="1" applyAlignment="1" applyProtection="1"/>
    <xf numFmtId="0" fontId="0" fillId="6" borderId="18" xfId="0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0" fillId="6" borderId="19" xfId="0" applyFill="1" applyBorder="1" applyAlignment="1" applyProtection="1">
      <alignment vertical="center"/>
    </xf>
    <xf numFmtId="0" fontId="0" fillId="6" borderId="0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vertical="center"/>
    </xf>
    <xf numFmtId="0" fontId="0" fillId="6" borderId="28" xfId="0" applyFont="1" applyFill="1" applyBorder="1" applyAlignment="1" applyProtection="1">
      <alignment vertical="center"/>
    </xf>
    <xf numFmtId="0" fontId="30" fillId="6" borderId="0" xfId="0" applyFont="1" applyFill="1" applyBorder="1" applyAlignment="1" applyProtection="1">
      <alignment vertical="center"/>
    </xf>
    <xf numFmtId="0" fontId="30" fillId="6" borderId="29" xfId="0" applyFont="1" applyFill="1" applyBorder="1" applyAlignment="1" applyProtection="1">
      <alignment vertical="center"/>
    </xf>
    <xf numFmtId="0" fontId="30" fillId="6" borderId="28" xfId="0" applyFont="1" applyFill="1" applyBorder="1" applyAlignment="1" applyProtection="1">
      <alignment vertical="center"/>
    </xf>
    <xf numFmtId="0" fontId="30" fillId="8" borderId="30" xfId="0" applyFont="1" applyFill="1" applyBorder="1" applyAlignment="1" applyProtection="1">
      <alignment horizontal="center" vertical="center"/>
      <protection locked="0"/>
    </xf>
    <xf numFmtId="0" fontId="30" fillId="6" borderId="0" xfId="0" applyFont="1" applyFill="1" applyBorder="1" applyAlignment="1" applyProtection="1">
      <alignment horizontal="center" vertical="center"/>
    </xf>
    <xf numFmtId="0" fontId="0" fillId="2" borderId="18" xfId="0" applyFill="1" applyBorder="1" applyProtection="1"/>
    <xf numFmtId="0" fontId="14" fillId="8" borderId="18" xfId="7" applyFont="1" applyFill="1" applyBorder="1" applyAlignment="1" applyProtection="1"/>
    <xf numFmtId="164" fontId="28" fillId="6" borderId="18" xfId="0" applyNumberFormat="1" applyFont="1" applyFill="1" applyBorder="1" applyAlignment="1" applyProtection="1">
      <alignment horizontal="center"/>
    </xf>
    <xf numFmtId="0" fontId="1" fillId="8" borderId="18" xfId="0" applyFont="1" applyFill="1" applyBorder="1" applyAlignment="1" applyProtection="1">
      <alignment vertical="center"/>
    </xf>
    <xf numFmtId="164" fontId="9" fillId="6" borderId="18" xfId="0" applyNumberFormat="1" applyFont="1" applyFill="1" applyBorder="1" applyAlignment="1" applyProtection="1">
      <alignment horizontal="center" vertical="center" wrapText="1"/>
    </xf>
    <xf numFmtId="0" fontId="31" fillId="6" borderId="0" xfId="0" applyFont="1" applyFill="1" applyBorder="1" applyProtection="1"/>
    <xf numFmtId="0" fontId="1" fillId="6" borderId="0" xfId="0" applyFont="1" applyFill="1" applyBorder="1" applyAlignment="1" applyProtection="1">
      <alignment vertical="center"/>
    </xf>
    <xf numFmtId="164" fontId="31" fillId="6" borderId="0" xfId="0" applyNumberFormat="1" applyFont="1" applyFill="1" applyBorder="1" applyAlignment="1" applyProtection="1"/>
    <xf numFmtId="0" fontId="1" fillId="6" borderId="0" xfId="0" applyFont="1" applyFill="1" applyBorder="1" applyAlignment="1" applyProtection="1">
      <alignment vertical="center" wrapText="1"/>
    </xf>
    <xf numFmtId="0" fontId="0" fillId="2" borderId="18" xfId="0" applyFill="1" applyBorder="1" applyAlignment="1" applyProtection="1"/>
    <xf numFmtId="0" fontId="14" fillId="8" borderId="4" xfId="7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18" xfId="0" applyFont="1" applyFill="1" applyBorder="1" applyAlignment="1" applyProtection="1"/>
    <xf numFmtId="0" fontId="18" fillId="2" borderId="0" xfId="0" applyFont="1" applyFill="1" applyBorder="1" applyAlignment="1" applyProtection="1">
      <alignment vertical="center"/>
    </xf>
    <xf numFmtId="0" fontId="18" fillId="2" borderId="11" xfId="0" applyFont="1" applyFill="1" applyBorder="1" applyAlignment="1" applyProtection="1">
      <alignment vertical="center"/>
    </xf>
    <xf numFmtId="0" fontId="32" fillId="6" borderId="0" xfId="0" applyFont="1" applyFill="1" applyBorder="1" applyAlignment="1" applyProtection="1">
      <alignment vertical="center"/>
    </xf>
    <xf numFmtId="0" fontId="19" fillId="6" borderId="31" xfId="0" applyFont="1" applyFill="1" applyBorder="1" applyAlignment="1" applyProtection="1">
      <alignment vertical="center"/>
    </xf>
    <xf numFmtId="0" fontId="20" fillId="6" borderId="0" xfId="0" applyFont="1" applyFill="1" applyBorder="1" applyAlignment="1" applyProtection="1">
      <alignment vertical="center"/>
    </xf>
    <xf numFmtId="0" fontId="32" fillId="6" borderId="0" xfId="0" applyFont="1" applyFill="1" applyBorder="1" applyAlignment="1" applyProtection="1">
      <alignment horizontal="left" vertical="center" wrapText="1"/>
    </xf>
    <xf numFmtId="0" fontId="32" fillId="6" borderId="18" xfId="0" applyFont="1" applyFill="1" applyBorder="1" applyAlignment="1" applyProtection="1">
      <alignment horizontal="left" vertical="center" wrapText="1"/>
    </xf>
    <xf numFmtId="164" fontId="28" fillId="6" borderId="0" xfId="0" applyNumberFormat="1" applyFont="1" applyFill="1" applyBorder="1" applyAlignment="1" applyProtection="1">
      <alignment horizontal="center"/>
    </xf>
    <xf numFmtId="0" fontId="0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33" fillId="6" borderId="0" xfId="0" applyFont="1" applyFill="1" applyBorder="1" applyAlignment="1" applyProtection="1">
      <alignment vertical="center"/>
    </xf>
    <xf numFmtId="0" fontId="33" fillId="6" borderId="0" xfId="0" applyFont="1" applyFill="1" applyBorder="1" applyAlignment="1" applyProtection="1">
      <alignment horizontal="center" vertical="center"/>
    </xf>
    <xf numFmtId="0" fontId="20" fillId="9" borderId="32" xfId="0" applyNumberFormat="1" applyFont="1" applyFill="1" applyBorder="1" applyAlignment="1" applyProtection="1">
      <alignment horizontal="center" vertical="center" wrapText="1"/>
    </xf>
    <xf numFmtId="174" fontId="1" fillId="9" borderId="32" xfId="8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/>
    <xf numFmtId="0" fontId="34" fillId="2" borderId="0" xfId="0" applyFont="1" applyFill="1" applyAlignment="1" applyProtection="1"/>
    <xf numFmtId="0" fontId="34" fillId="2" borderId="0" xfId="0" applyFont="1" applyFill="1" applyAlignment="1" applyProtection="1">
      <alignment vertical="center"/>
    </xf>
    <xf numFmtId="0" fontId="34" fillId="6" borderId="0" xfId="0" applyFont="1" applyFill="1" applyBorder="1" applyAlignment="1" applyProtection="1">
      <alignment vertical="center"/>
    </xf>
    <xf numFmtId="0" fontId="34" fillId="2" borderId="0" xfId="0" applyFont="1" applyFill="1" applyProtection="1"/>
    <xf numFmtId="0" fontId="1" fillId="6" borderId="18" xfId="0" applyFont="1" applyFill="1" applyBorder="1" applyAlignment="1" applyProtection="1">
      <alignment vertical="center"/>
    </xf>
    <xf numFmtId="0" fontId="35" fillId="8" borderId="4" xfId="7" applyFont="1" applyFill="1" applyBorder="1" applyAlignment="1" applyProtection="1"/>
    <xf numFmtId="0" fontId="35" fillId="8" borderId="0" xfId="7" applyFont="1" applyFill="1" applyBorder="1" applyAlignment="1" applyProtection="1"/>
    <xf numFmtId="0" fontId="19" fillId="6" borderId="33" xfId="0" applyFont="1" applyFill="1" applyBorder="1" applyAlignment="1" applyProtection="1">
      <alignment vertical="center"/>
    </xf>
    <xf numFmtId="164" fontId="31" fillId="6" borderId="0" xfId="0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vertical="top" wrapText="1"/>
    </xf>
    <xf numFmtId="2" fontId="37" fillId="2" borderId="0" xfId="0" applyNumberFormat="1" applyFont="1" applyFill="1" applyBorder="1" applyAlignment="1" applyProtection="1">
      <alignment vertical="top" wrapText="1"/>
    </xf>
    <xf numFmtId="0" fontId="37" fillId="2" borderId="0" xfId="0" applyFont="1" applyFill="1" applyBorder="1" applyAlignment="1" applyProtection="1">
      <alignment vertical="top" wrapText="1"/>
    </xf>
    <xf numFmtId="2" fontId="38" fillId="6" borderId="0" xfId="0" applyNumberFormat="1" applyFont="1" applyFill="1" applyBorder="1" applyAlignment="1" applyProtection="1">
      <alignment vertical="center"/>
    </xf>
    <xf numFmtId="0" fontId="38" fillId="6" borderId="0" xfId="0" applyFont="1" applyFill="1" applyBorder="1" applyAlignment="1" applyProtection="1">
      <alignment vertical="center"/>
    </xf>
    <xf numFmtId="164" fontId="38" fillId="6" borderId="0" xfId="0" applyNumberFormat="1" applyFont="1" applyFill="1" applyBorder="1" applyAlignment="1" applyProtection="1">
      <alignment vertical="center"/>
    </xf>
    <xf numFmtId="0" fontId="38" fillId="6" borderId="0" xfId="0" applyNumberFormat="1" applyFont="1" applyFill="1" applyAlignment="1">
      <alignment horizontal="left" vertical="center"/>
    </xf>
    <xf numFmtId="0" fontId="38" fillId="6" borderId="0" xfId="0" applyNumberFormat="1" applyFont="1" applyFill="1" applyBorder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24" fillId="6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0" fillId="2" borderId="0" xfId="0" applyFont="1" applyFill="1" applyBorder="1" applyProtection="1"/>
    <xf numFmtId="0" fontId="0" fillId="0" borderId="0" xfId="0" applyFont="1" applyAlignment="1">
      <alignment horizontal="center" vertical="center"/>
    </xf>
    <xf numFmtId="164" fontId="31" fillId="6" borderId="18" xfId="0" applyNumberFormat="1" applyFont="1" applyFill="1" applyBorder="1" applyAlignment="1" applyProtection="1"/>
    <xf numFmtId="0" fontId="26" fillId="6" borderId="0" xfId="0" applyFont="1" applyFill="1" applyBorder="1" applyAlignment="1" applyProtection="1">
      <alignment vertical="center"/>
    </xf>
    <xf numFmtId="164" fontId="31" fillId="6" borderId="18" xfId="0" applyNumberFormat="1" applyFont="1" applyFill="1" applyBorder="1" applyAlignment="1" applyProtection="1">
      <alignment horizontal="center"/>
    </xf>
    <xf numFmtId="0" fontId="0" fillId="6" borderId="34" xfId="0" applyFont="1" applyFill="1" applyBorder="1" applyAlignment="1" applyProtection="1">
      <alignment vertical="center"/>
    </xf>
    <xf numFmtId="0" fontId="0" fillId="6" borderId="16" xfId="0" applyFont="1" applyFill="1" applyBorder="1" applyAlignment="1" applyProtection="1">
      <alignment vertical="center"/>
    </xf>
    <xf numFmtId="0" fontId="0" fillId="6" borderId="35" xfId="0" applyFont="1" applyFill="1" applyBorder="1" applyAlignment="1" applyProtection="1">
      <alignment vertical="center"/>
    </xf>
    <xf numFmtId="0" fontId="0" fillId="2" borderId="39" xfId="0" applyFont="1" applyFill="1" applyBorder="1" applyProtection="1"/>
    <xf numFmtId="0" fontId="17" fillId="2" borderId="4" xfId="0" applyFont="1" applyFill="1" applyBorder="1" applyAlignment="1" applyProtection="1">
      <alignment horizontal="center" vertical="center"/>
    </xf>
    <xf numFmtId="0" fontId="24" fillId="2" borderId="0" xfId="0" applyFont="1" applyFill="1" applyBorder="1" applyProtection="1"/>
    <xf numFmtId="0" fontId="24" fillId="2" borderId="0" xfId="0" applyFont="1" applyFill="1" applyProtection="1"/>
    <xf numFmtId="0" fontId="17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Protection="1"/>
    <xf numFmtId="0" fontId="17" fillId="2" borderId="40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vertical="center"/>
      <protection locked="0"/>
    </xf>
    <xf numFmtId="0" fontId="38" fillId="2" borderId="0" xfId="0" applyFont="1" applyFill="1" applyBorder="1" applyProtection="1"/>
    <xf numFmtId="0" fontId="38" fillId="2" borderId="0" xfId="0" applyFont="1" applyFill="1" applyProtection="1"/>
    <xf numFmtId="0" fontId="39" fillId="2" borderId="0" xfId="0" applyFont="1" applyFill="1" applyBorder="1" applyAlignment="1" applyProtection="1">
      <alignment vertical="top" wrapText="1"/>
    </xf>
    <xf numFmtId="0" fontId="40" fillId="6" borderId="0" xfId="0" applyFont="1" applyFill="1" applyBorder="1" applyAlignment="1" applyProtection="1">
      <alignment vertical="center"/>
    </xf>
    <xf numFmtId="0" fontId="40" fillId="0" borderId="0" xfId="0" applyFont="1"/>
    <xf numFmtId="164" fontId="28" fillId="6" borderId="18" xfId="0" applyNumberFormat="1" applyFont="1" applyFill="1" applyBorder="1" applyAlignment="1" applyProtection="1">
      <alignment wrapText="1"/>
    </xf>
    <xf numFmtId="0" fontId="41" fillId="6" borderId="0" xfId="0" applyFont="1" applyFill="1" applyBorder="1" applyAlignment="1" applyProtection="1">
      <alignment horizontal="left" vertical="center" wrapText="1"/>
    </xf>
    <xf numFmtId="164" fontId="42" fillId="6" borderId="0" xfId="0" applyNumberFormat="1" applyFont="1" applyFill="1" applyBorder="1" applyAlignment="1" applyProtection="1">
      <alignment horizontal="center" vertical="center" wrapText="1"/>
      <protection hidden="1"/>
    </xf>
    <xf numFmtId="164" fontId="42" fillId="6" borderId="18" xfId="0" applyNumberFormat="1" applyFont="1" applyFill="1" applyBorder="1" applyAlignment="1" applyProtection="1">
      <alignment horizontal="center" vertical="center" wrapText="1"/>
    </xf>
    <xf numFmtId="0" fontId="43" fillId="2" borderId="0" xfId="0" applyFont="1" applyFill="1" applyBorder="1" applyProtection="1"/>
    <xf numFmtId="0" fontId="43" fillId="6" borderId="0" xfId="0" applyFont="1" applyFill="1" applyBorder="1" applyAlignment="1" applyProtection="1">
      <alignment vertical="center"/>
    </xf>
    <xf numFmtId="164" fontId="31" fillId="6" borderId="0" xfId="0" applyNumberFormat="1" applyFont="1" applyFill="1" applyBorder="1" applyAlignment="1" applyProtection="1">
      <alignment horizontal="center"/>
    </xf>
    <xf numFmtId="174" fontId="44" fillId="6" borderId="0" xfId="0" applyNumberFormat="1" applyFont="1" applyFill="1" applyBorder="1" applyAlignment="1" applyProtection="1">
      <alignment horizontal="center"/>
    </xf>
    <xf numFmtId="10" fontId="28" fillId="6" borderId="18" xfId="0" applyNumberFormat="1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top" wrapText="1"/>
    </xf>
    <xf numFmtId="0" fontId="19" fillId="6" borderId="33" xfId="0" applyFont="1" applyFill="1" applyBorder="1" applyAlignment="1" applyProtection="1">
      <alignment horizontal="left" vertical="center"/>
    </xf>
    <xf numFmtId="0" fontId="19" fillId="6" borderId="31" xfId="0" applyFont="1" applyFill="1" applyBorder="1" applyAlignment="1" applyProtection="1">
      <alignment horizontal="left" vertical="center"/>
    </xf>
    <xf numFmtId="164" fontId="31" fillId="6" borderId="0" xfId="0" applyNumberFormat="1" applyFont="1" applyFill="1" applyBorder="1" applyAlignment="1" applyProtection="1">
      <alignment horizontal="center"/>
    </xf>
    <xf numFmtId="0" fontId="32" fillId="6" borderId="37" xfId="0" applyFont="1" applyFill="1" applyBorder="1" applyAlignment="1" applyProtection="1">
      <alignment horizontal="left" vertical="center"/>
    </xf>
    <xf numFmtId="0" fontId="32" fillId="6" borderId="28" xfId="0" applyFont="1" applyFill="1" applyBorder="1" applyAlignment="1" applyProtection="1">
      <alignment horizontal="left" vertical="center"/>
    </xf>
    <xf numFmtId="0" fontId="32" fillId="6" borderId="38" xfId="0" applyFont="1" applyFill="1" applyBorder="1" applyAlignment="1" applyProtection="1">
      <alignment horizontal="left" vertical="center"/>
    </xf>
    <xf numFmtId="167" fontId="0" fillId="8" borderId="31" xfId="0" applyNumberFormat="1" applyFont="1" applyFill="1" applyBorder="1" applyAlignment="1" applyProtection="1">
      <alignment horizontal="center" vertical="center"/>
      <protection locked="0"/>
    </xf>
    <xf numFmtId="167" fontId="0" fillId="8" borderId="30" xfId="0" applyNumberFormat="1" applyFont="1" applyFill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center" vertical="center"/>
    </xf>
    <xf numFmtId="0" fontId="22" fillId="10" borderId="19" xfId="0" applyFont="1" applyFill="1" applyBorder="1" applyAlignment="1" applyProtection="1">
      <alignment horizontal="center" wrapText="1"/>
    </xf>
    <xf numFmtId="0" fontId="22" fillId="10" borderId="1" xfId="0" applyFont="1" applyFill="1" applyBorder="1" applyAlignment="1" applyProtection="1">
      <alignment horizontal="center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top"/>
    </xf>
    <xf numFmtId="0" fontId="21" fillId="2" borderId="0" xfId="0" applyFont="1" applyFill="1" applyBorder="1" applyAlignment="1" applyProtection="1">
      <alignment horizontal="center" vertical="top" wrapText="1"/>
    </xf>
    <xf numFmtId="0" fontId="19" fillId="6" borderId="33" xfId="0" applyFont="1" applyFill="1" applyBorder="1" applyAlignment="1" applyProtection="1">
      <alignment vertical="center"/>
    </xf>
    <xf numFmtId="0" fontId="0" fillId="0" borderId="31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19" fillId="6" borderId="0" xfId="0" applyFont="1" applyFill="1" applyBorder="1" applyAlignment="1" applyProtection="1">
      <alignment horizontal="left" vertical="center" wrapText="1"/>
    </xf>
    <xf numFmtId="0" fontId="19" fillId="6" borderId="32" xfId="0" applyFont="1" applyFill="1" applyBorder="1" applyAlignment="1" applyProtection="1">
      <alignment horizontal="left" vertical="center"/>
    </xf>
    <xf numFmtId="3" fontId="33" fillId="6" borderId="0" xfId="0" applyNumberFormat="1" applyFont="1" applyFill="1" applyBorder="1" applyAlignment="1" applyProtection="1">
      <alignment vertical="center"/>
    </xf>
    <xf numFmtId="0" fontId="40" fillId="0" borderId="0" xfId="0" applyFont="1" applyBorder="1" applyAlignment="1"/>
    <xf numFmtId="14" fontId="19" fillId="8" borderId="29" xfId="0" applyNumberFormat="1" applyFont="1" applyFill="1" applyBorder="1" applyAlignment="1" applyProtection="1">
      <alignment horizontal="left" vertical="center" wrapText="1"/>
    </xf>
    <xf numFmtId="14" fontId="23" fillId="8" borderId="29" xfId="0" applyNumberFormat="1" applyFont="1" applyFill="1" applyBorder="1" applyAlignment="1" applyProtection="1">
      <alignment vertical="center"/>
    </xf>
    <xf numFmtId="0" fontId="0" fillId="0" borderId="29" xfId="0" applyFont="1" applyBorder="1" applyAlignment="1">
      <alignment vertical="center"/>
    </xf>
    <xf numFmtId="0" fontId="19" fillId="6" borderId="33" xfId="0" applyFont="1" applyFill="1" applyBorder="1" applyAlignment="1" applyProtection="1">
      <alignment vertical="center" wrapText="1"/>
    </xf>
    <xf numFmtId="0" fontId="19" fillId="6" borderId="31" xfId="0" applyFont="1" applyFill="1" applyBorder="1" applyAlignment="1" applyProtection="1">
      <alignment vertical="center" wrapText="1"/>
    </xf>
    <xf numFmtId="164" fontId="9" fillId="6" borderId="0" xfId="0" applyNumberFormat="1" applyFont="1" applyFill="1" applyBorder="1" applyAlignment="1" applyProtection="1">
      <alignment horizontal="center" vertical="center" wrapText="1"/>
      <protection hidden="1"/>
    </xf>
    <xf numFmtId="14" fontId="19" fillId="8" borderId="36" xfId="0" applyNumberFormat="1" applyFont="1" applyFill="1" applyBorder="1" applyAlignment="1" applyProtection="1">
      <alignment horizontal="left" vertical="center" wrapText="1"/>
    </xf>
  </cellXfs>
  <cellStyles count="11">
    <cellStyle name="Comma 2" xfId="1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6" xfId="7"/>
    <cellStyle name="Percent" xfId="8" builtinId="5"/>
    <cellStyle name="Percent 2" xfId="9"/>
    <cellStyle name="Style 1" xfId="1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numFmt numFmtId="175" formatCode=";;;"/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9</xdr:col>
      <xdr:colOff>285750</xdr:colOff>
      <xdr:row>1</xdr:row>
      <xdr:rowOff>619125</xdr:rowOff>
    </xdr:to>
    <xdr:pic>
      <xdr:nvPicPr>
        <xdr:cNvPr id="7747" name="Picture 5">
          <a:extLst>
            <a:ext uri="{FF2B5EF4-FFF2-40B4-BE49-F238E27FC236}">
              <a16:creationId xmlns:a16="http://schemas.microsoft.com/office/drawing/2014/main" id="{E2AC3145-FA9E-5F5E-2CEF-BB5DD02A8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6343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0</xdr:row>
      <xdr:rowOff>38100</xdr:rowOff>
    </xdr:from>
    <xdr:to>
      <xdr:col>11</xdr:col>
      <xdr:colOff>295275</xdr:colOff>
      <xdr:row>1</xdr:row>
      <xdr:rowOff>619125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613F27F-20C2-DC3E-7DA0-F3EEE7D22296}"/>
            </a:ext>
          </a:extLst>
        </xdr:cNvPr>
        <xdr:cNvSpPr/>
      </xdr:nvSpPr>
      <xdr:spPr bwMode="auto">
        <a:xfrm>
          <a:off x="5486400" y="38100"/>
          <a:ext cx="981075" cy="638175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"/>
  <sheetViews>
    <sheetView workbookViewId="0">
      <selection activeCell="E31" sqref="E31"/>
    </sheetView>
  </sheetViews>
  <sheetFormatPr defaultRowHeight="12.75" x14ac:dyDescent="0.2"/>
  <cols>
    <col min="1" max="1" width="13.28515625" bestFit="1" customWidth="1"/>
    <col min="2" max="2" width="14.28515625" bestFit="1" customWidth="1"/>
    <col min="3" max="3" width="14.85546875" bestFit="1" customWidth="1"/>
    <col min="4" max="4" width="12.5703125" bestFit="1" customWidth="1"/>
  </cols>
  <sheetData>
    <row r="1" spans="1:4" x14ac:dyDescent="0.2">
      <c r="A1" s="1" t="s">
        <v>16</v>
      </c>
      <c r="B1" s="1" t="s">
        <v>17</v>
      </c>
      <c r="C1" s="1" t="s">
        <v>38</v>
      </c>
      <c r="D1" s="1" t="s">
        <v>37</v>
      </c>
    </row>
    <row r="2" spans="1:4" x14ac:dyDescent="0.2">
      <c r="A2" s="8">
        <v>1</v>
      </c>
      <c r="B2" s="2" t="s">
        <v>19</v>
      </c>
      <c r="C2" s="1" t="s">
        <v>23</v>
      </c>
      <c r="D2" s="1" t="s">
        <v>39</v>
      </c>
    </row>
    <row r="3" spans="1:4" x14ac:dyDescent="0.2">
      <c r="A3" s="8">
        <v>2</v>
      </c>
      <c r="B3" s="8">
        <v>1</v>
      </c>
      <c r="C3" s="1" t="s">
        <v>24</v>
      </c>
      <c r="D3" s="1" t="s">
        <v>40</v>
      </c>
    </row>
    <row r="4" spans="1:4" x14ac:dyDescent="0.2">
      <c r="A4" s="8">
        <v>3</v>
      </c>
      <c r="B4" s="2">
        <v>2</v>
      </c>
      <c r="C4" s="1" t="s">
        <v>1</v>
      </c>
      <c r="D4" s="1" t="s">
        <v>41</v>
      </c>
    </row>
    <row r="5" spans="1:4" x14ac:dyDescent="0.2">
      <c r="A5" s="8"/>
      <c r="B5" s="2" t="s">
        <v>18</v>
      </c>
      <c r="C5" s="1"/>
      <c r="D5" s="1" t="s">
        <v>44</v>
      </c>
    </row>
  </sheetData>
  <customSheetViews>
    <customSheetView guid="{4D5D8FA7-F3F0-4AE1-8C5F-00D21D6271E7}">
      <selection activeCell="D5" sqref="D5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52"/>
  <sheetViews>
    <sheetView workbookViewId="0">
      <selection activeCell="S17" sqref="S17"/>
    </sheetView>
  </sheetViews>
  <sheetFormatPr defaultRowHeight="12.75" x14ac:dyDescent="0.2"/>
  <cols>
    <col min="1" max="1" width="35.140625" customWidth="1"/>
    <col min="2" max="2" width="14.85546875" bestFit="1" customWidth="1"/>
  </cols>
  <sheetData>
    <row r="1" spans="1:33" ht="13.5" thickBot="1" x14ac:dyDescent="0.25">
      <c r="B1" s="2" t="s">
        <v>12</v>
      </c>
      <c r="C1" s="2" t="s">
        <v>13</v>
      </c>
      <c r="D1" s="11" t="str">
        <f>"11"</f>
        <v>11</v>
      </c>
      <c r="E1" s="8" t="str">
        <f>"12"</f>
        <v>12</v>
      </c>
      <c r="F1" s="2" t="s">
        <v>35</v>
      </c>
      <c r="G1" s="8" t="str">
        <f>"21"</f>
        <v>21</v>
      </c>
      <c r="H1" s="8" t="str">
        <f>"22"</f>
        <v>22</v>
      </c>
      <c r="I1" s="2" t="s">
        <v>14</v>
      </c>
      <c r="J1" s="2" t="s">
        <v>15</v>
      </c>
      <c r="K1" s="2" t="str">
        <f>"31"</f>
        <v>31</v>
      </c>
      <c r="L1" s="2" t="str">
        <f>"32"</f>
        <v>32</v>
      </c>
      <c r="M1" s="2" t="str">
        <f>"33+"</f>
        <v>33+</v>
      </c>
      <c r="N1" s="10">
        <v>1</v>
      </c>
      <c r="U1" s="38"/>
      <c r="V1" s="39" t="s">
        <v>12</v>
      </c>
      <c r="W1" s="39" t="s">
        <v>13</v>
      </c>
      <c r="X1" s="40" t="str">
        <f>"11"</f>
        <v>11</v>
      </c>
      <c r="Y1" s="41" t="str">
        <f>"12"</f>
        <v>12</v>
      </c>
      <c r="Z1" s="39" t="s">
        <v>35</v>
      </c>
      <c r="AA1" s="41" t="str">
        <f>"21"</f>
        <v>21</v>
      </c>
      <c r="AB1" s="41" t="str">
        <f>"22"</f>
        <v>22</v>
      </c>
      <c r="AC1" s="39" t="s">
        <v>14</v>
      </c>
      <c r="AD1" s="39" t="s">
        <v>15</v>
      </c>
      <c r="AE1" s="39" t="str">
        <f>"31"</f>
        <v>31</v>
      </c>
      <c r="AF1" s="39" t="str">
        <f>"32"</f>
        <v>32</v>
      </c>
      <c r="AG1" s="39" t="str">
        <f>"33+"</f>
        <v>33+</v>
      </c>
    </row>
    <row r="2" spans="1:33" ht="57" thickBot="1" x14ac:dyDescent="0.25">
      <c r="A2" s="5" t="s">
        <v>9</v>
      </c>
      <c r="B2" s="6" t="s">
        <v>10</v>
      </c>
      <c r="C2" s="6" t="s">
        <v>11</v>
      </c>
      <c r="D2" s="6"/>
      <c r="E2" s="6"/>
      <c r="F2" s="6"/>
      <c r="G2" s="6"/>
      <c r="H2" s="6"/>
      <c r="I2" s="6"/>
      <c r="J2" s="6"/>
      <c r="K2" s="6"/>
      <c r="L2" s="6"/>
      <c r="M2" s="7"/>
      <c r="N2" s="10">
        <f t="shared" ref="N2:N7" si="0">N1+1</f>
        <v>2</v>
      </c>
      <c r="U2" s="5" t="s">
        <v>47</v>
      </c>
      <c r="V2" s="42" t="s">
        <v>10</v>
      </c>
      <c r="W2" s="42" t="s">
        <v>11</v>
      </c>
      <c r="X2" s="42"/>
      <c r="Y2" s="42"/>
      <c r="Z2" s="42"/>
      <c r="AA2" s="42"/>
      <c r="AB2" s="42"/>
      <c r="AC2" s="42"/>
      <c r="AD2" s="42"/>
      <c r="AE2" s="42"/>
      <c r="AF2" s="42"/>
      <c r="AG2" s="43"/>
    </row>
    <row r="3" spans="1:33" ht="12.75" customHeight="1" thickBot="1" x14ac:dyDescent="0.25">
      <c r="A3" s="16" t="s">
        <v>31</v>
      </c>
      <c r="B3" s="55">
        <f t="shared" ref="B3:B8" si="1">V3</f>
        <v>146.03333333333336</v>
      </c>
      <c r="C3" s="56">
        <f t="shared" ref="C3:M8" si="2">W3</f>
        <v>279.50000000000006</v>
      </c>
      <c r="D3" s="56">
        <f t="shared" si="2"/>
        <v>0</v>
      </c>
      <c r="E3" s="56">
        <f t="shared" si="2"/>
        <v>0</v>
      </c>
      <c r="F3" s="56">
        <f t="shared" si="2"/>
        <v>0</v>
      </c>
      <c r="G3" s="56">
        <f t="shared" si="2"/>
        <v>0</v>
      </c>
      <c r="H3" s="56">
        <f t="shared" si="2"/>
        <v>0</v>
      </c>
      <c r="I3" s="56">
        <f t="shared" si="2"/>
        <v>0</v>
      </c>
      <c r="J3" s="56">
        <f t="shared" si="2"/>
        <v>0</v>
      </c>
      <c r="K3" s="56">
        <f t="shared" si="2"/>
        <v>0</v>
      </c>
      <c r="L3" s="56">
        <f t="shared" si="2"/>
        <v>0</v>
      </c>
      <c r="M3" s="57">
        <f t="shared" si="2"/>
        <v>0</v>
      </c>
      <c r="N3" s="10">
        <f t="shared" si="0"/>
        <v>3</v>
      </c>
      <c r="U3" s="44" t="s">
        <v>31</v>
      </c>
      <c r="V3" s="45">
        <v>146.03333333333336</v>
      </c>
      <c r="W3" s="45">
        <v>279.50000000000006</v>
      </c>
      <c r="X3" s="45"/>
      <c r="Y3" s="45"/>
      <c r="Z3" s="45"/>
      <c r="AA3" s="45"/>
      <c r="AB3" s="45"/>
      <c r="AC3" s="45"/>
      <c r="AD3" s="45"/>
      <c r="AE3" s="45"/>
      <c r="AF3" s="45"/>
      <c r="AG3" s="46"/>
    </row>
    <row r="4" spans="1:33" ht="12.75" customHeight="1" thickBot="1" x14ac:dyDescent="0.25">
      <c r="A4" s="17" t="s">
        <v>32</v>
      </c>
      <c r="B4" s="58">
        <f t="shared" si="1"/>
        <v>31.633333333333336</v>
      </c>
      <c r="C4" s="20">
        <f t="shared" si="2"/>
        <v>81.900000000000006</v>
      </c>
      <c r="D4" s="20">
        <f t="shared" si="2"/>
        <v>0</v>
      </c>
      <c r="E4" s="20">
        <f t="shared" si="2"/>
        <v>0</v>
      </c>
      <c r="F4" s="20">
        <f t="shared" si="2"/>
        <v>0</v>
      </c>
      <c r="G4" s="20">
        <f t="shared" si="2"/>
        <v>0</v>
      </c>
      <c r="H4" s="20">
        <f t="shared" si="2"/>
        <v>0</v>
      </c>
      <c r="I4" s="20">
        <f t="shared" si="2"/>
        <v>0</v>
      </c>
      <c r="J4" s="20">
        <f t="shared" si="2"/>
        <v>0</v>
      </c>
      <c r="K4" s="20">
        <f t="shared" si="2"/>
        <v>0</v>
      </c>
      <c r="L4" s="20">
        <f t="shared" si="2"/>
        <v>0</v>
      </c>
      <c r="M4" s="4">
        <f t="shared" si="2"/>
        <v>0</v>
      </c>
      <c r="N4" s="10">
        <f t="shared" si="0"/>
        <v>4</v>
      </c>
      <c r="U4" s="44" t="s">
        <v>32</v>
      </c>
      <c r="V4" s="45">
        <v>31.633333333333336</v>
      </c>
      <c r="W4" s="45">
        <v>81.900000000000006</v>
      </c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3" ht="12.75" customHeight="1" thickBot="1" x14ac:dyDescent="0.25">
      <c r="A5" s="17" t="s">
        <v>33</v>
      </c>
      <c r="B5" s="58">
        <f t="shared" si="1"/>
        <v>97.500000000000014</v>
      </c>
      <c r="C5" s="20">
        <f t="shared" si="2"/>
        <v>169.00000000000003</v>
      </c>
      <c r="D5" s="20">
        <f t="shared" si="2"/>
        <v>0</v>
      </c>
      <c r="E5" s="20">
        <f t="shared" si="2"/>
        <v>0</v>
      </c>
      <c r="F5" s="20">
        <f t="shared" si="2"/>
        <v>0</v>
      </c>
      <c r="G5" s="20">
        <f t="shared" si="2"/>
        <v>0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4">
        <f t="shared" si="2"/>
        <v>0</v>
      </c>
      <c r="N5" s="10">
        <f t="shared" si="0"/>
        <v>5</v>
      </c>
      <c r="U5" s="44" t="s">
        <v>33</v>
      </c>
      <c r="V5" s="45">
        <v>97.500000000000014</v>
      </c>
      <c r="W5" s="45">
        <v>169.00000000000003</v>
      </c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3" ht="12.75" customHeight="1" thickBot="1" x14ac:dyDescent="0.25">
      <c r="A6" s="17" t="s">
        <v>5</v>
      </c>
      <c r="B6" s="58">
        <f t="shared" si="1"/>
        <v>15.166666666666668</v>
      </c>
      <c r="C6" s="20">
        <f t="shared" si="2"/>
        <v>49.833333333333343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0">
        <f t="shared" si="2"/>
        <v>0</v>
      </c>
      <c r="H6" s="20">
        <f t="shared" si="2"/>
        <v>0</v>
      </c>
      <c r="I6" s="20">
        <f t="shared" si="2"/>
        <v>0</v>
      </c>
      <c r="J6" s="20">
        <f t="shared" si="2"/>
        <v>0</v>
      </c>
      <c r="K6" s="20">
        <f t="shared" si="2"/>
        <v>0</v>
      </c>
      <c r="L6" s="20">
        <f t="shared" si="2"/>
        <v>0</v>
      </c>
      <c r="M6" s="4">
        <f t="shared" si="2"/>
        <v>0</v>
      </c>
      <c r="N6" s="10">
        <f t="shared" si="0"/>
        <v>6</v>
      </c>
      <c r="U6" s="44" t="s">
        <v>5</v>
      </c>
      <c r="V6" s="45">
        <v>15.166666666666668</v>
      </c>
      <c r="W6" s="45">
        <v>49.833333333333343</v>
      </c>
      <c r="X6" s="45"/>
      <c r="Y6" s="45"/>
      <c r="Z6" s="45"/>
      <c r="AA6" s="45"/>
      <c r="AB6" s="45"/>
      <c r="AC6" s="45"/>
      <c r="AD6" s="45"/>
      <c r="AE6" s="45"/>
      <c r="AF6" s="45"/>
      <c r="AG6" s="46"/>
    </row>
    <row r="7" spans="1:33" ht="12.75" customHeight="1" thickBot="1" x14ac:dyDescent="0.25">
      <c r="A7" s="37" t="s">
        <v>52</v>
      </c>
      <c r="B7" s="58">
        <f t="shared" si="1"/>
        <v>50.483333333333341</v>
      </c>
      <c r="C7" s="20">
        <f t="shared" si="2"/>
        <v>143.65</v>
      </c>
      <c r="D7" s="20">
        <f t="shared" ref="D7:M7" si="3">X7*25%</f>
        <v>0</v>
      </c>
      <c r="E7" s="20">
        <f t="shared" si="3"/>
        <v>0</v>
      </c>
      <c r="F7" s="20">
        <f t="shared" si="3"/>
        <v>0</v>
      </c>
      <c r="G7" s="20">
        <f t="shared" si="3"/>
        <v>0</v>
      </c>
      <c r="H7" s="20">
        <f t="shared" si="3"/>
        <v>0</v>
      </c>
      <c r="I7" s="20">
        <f t="shared" si="3"/>
        <v>0</v>
      </c>
      <c r="J7" s="20">
        <f t="shared" si="3"/>
        <v>0</v>
      </c>
      <c r="K7" s="20">
        <f t="shared" si="3"/>
        <v>0</v>
      </c>
      <c r="L7" s="20">
        <f t="shared" si="3"/>
        <v>0</v>
      </c>
      <c r="M7" s="4">
        <f t="shared" si="3"/>
        <v>0</v>
      </c>
      <c r="N7" s="10">
        <f t="shared" si="0"/>
        <v>7</v>
      </c>
      <c r="U7" s="44" t="s">
        <v>45</v>
      </c>
      <c r="V7" s="47">
        <v>50.483333333333341</v>
      </c>
      <c r="W7" s="47">
        <v>143.65</v>
      </c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3" ht="12.75" customHeight="1" thickBot="1" x14ac:dyDescent="0.25">
      <c r="A8" s="15" t="s">
        <v>53</v>
      </c>
      <c r="B8" s="59">
        <f t="shared" si="1"/>
        <v>89.916666666666686</v>
      </c>
      <c r="C8" s="60">
        <f t="shared" si="2"/>
        <v>115.05000000000003</v>
      </c>
      <c r="D8" s="60">
        <f t="shared" ref="D8:M8" si="4">X8*75%</f>
        <v>0</v>
      </c>
      <c r="E8" s="60">
        <f t="shared" si="4"/>
        <v>0</v>
      </c>
      <c r="F8" s="60">
        <f t="shared" si="4"/>
        <v>0</v>
      </c>
      <c r="G8" s="60">
        <f t="shared" si="4"/>
        <v>0</v>
      </c>
      <c r="H8" s="60">
        <f t="shared" si="4"/>
        <v>0</v>
      </c>
      <c r="I8" s="60">
        <f t="shared" si="4"/>
        <v>0</v>
      </c>
      <c r="J8" s="60">
        <f t="shared" si="4"/>
        <v>0</v>
      </c>
      <c r="K8" s="60">
        <f t="shared" si="4"/>
        <v>0</v>
      </c>
      <c r="L8" s="60">
        <f t="shared" si="4"/>
        <v>0</v>
      </c>
      <c r="M8" s="3">
        <f t="shared" si="4"/>
        <v>0</v>
      </c>
      <c r="N8" s="10">
        <v>8</v>
      </c>
      <c r="U8" s="49" t="s">
        <v>48</v>
      </c>
      <c r="V8" s="50">
        <v>89.916666666666686</v>
      </c>
      <c r="W8" s="50">
        <v>115.05000000000003</v>
      </c>
      <c r="X8" s="50"/>
      <c r="Y8" s="50"/>
      <c r="Z8" s="50"/>
      <c r="AA8" s="50"/>
      <c r="AB8" s="50"/>
      <c r="AC8" s="50"/>
      <c r="AD8" s="50"/>
      <c r="AE8" s="50"/>
      <c r="AF8" s="50"/>
      <c r="AG8" s="51"/>
    </row>
    <row r="9" spans="1:33" ht="14.25" thickTop="1" thickBot="1" x14ac:dyDescent="0.25">
      <c r="U9" s="52" t="s">
        <v>46</v>
      </c>
      <c r="V9" s="53">
        <f>SUM(V3:V8)</f>
        <v>430.73333333333341</v>
      </c>
      <c r="W9" s="53">
        <f>SUM(W3:W8)</f>
        <v>838.93333333333351</v>
      </c>
      <c r="X9" s="53"/>
      <c r="Y9" s="53"/>
      <c r="Z9" s="53"/>
      <c r="AA9" s="53"/>
      <c r="AB9" s="53"/>
      <c r="AC9" s="53"/>
      <c r="AD9" s="53"/>
      <c r="AE9" s="53"/>
      <c r="AF9" s="53"/>
      <c r="AG9" s="54"/>
    </row>
    <row r="10" spans="1:33" ht="12.75" customHeight="1" x14ac:dyDescent="0.2">
      <c r="A10" s="14" t="s">
        <v>30</v>
      </c>
      <c r="B10" s="9" t="e">
        <f>#REF!&amp;#REF!</f>
        <v>#REF!</v>
      </c>
    </row>
    <row r="12" spans="1:33" x14ac:dyDescent="0.2">
      <c r="A12" s="1" t="s">
        <v>25</v>
      </c>
      <c r="B12" s="12" t="e">
        <f>MAX(B35:B36)</f>
        <v>#REF!</v>
      </c>
    </row>
    <row r="13" spans="1:33" x14ac:dyDescent="0.2">
      <c r="A13" s="13" t="s">
        <v>26</v>
      </c>
      <c r="B13" s="12" t="e">
        <f>IF(B30&gt;0,MAX(B30:B31),B31)</f>
        <v>#REF!</v>
      </c>
    </row>
    <row r="14" spans="1:33" x14ac:dyDescent="0.2">
      <c r="A14" s="13" t="s">
        <v>27</v>
      </c>
      <c r="B14" s="12" t="e">
        <f>IF(B32&gt;0,MAX(B32:B33),B33)</f>
        <v>#REF!</v>
      </c>
    </row>
    <row r="16" spans="1:33" x14ac:dyDescent="0.2">
      <c r="A16" s="1" t="s">
        <v>34</v>
      </c>
      <c r="B16" t="e">
        <f>#REF!</f>
        <v>#REF!</v>
      </c>
    </row>
    <row r="17" spans="1:2" x14ac:dyDescent="0.2">
      <c r="A17" s="1" t="s">
        <v>36</v>
      </c>
      <c r="B17" t="e">
        <f>#REF!</f>
        <v>#REF!</v>
      </c>
    </row>
    <row r="20" spans="1:2" x14ac:dyDescent="0.2">
      <c r="A20" s="34" t="s">
        <v>44</v>
      </c>
      <c r="B20" s="63">
        <v>178</v>
      </c>
    </row>
    <row r="21" spans="1:2" x14ac:dyDescent="0.2">
      <c r="A21" s="35" t="s">
        <v>39</v>
      </c>
      <c r="B21" s="64">
        <v>178</v>
      </c>
    </row>
    <row r="22" spans="1:2" x14ac:dyDescent="0.2">
      <c r="A22" s="35" t="s">
        <v>40</v>
      </c>
      <c r="B22" s="61">
        <v>244</v>
      </c>
    </row>
    <row r="23" spans="1:2" x14ac:dyDescent="0.2">
      <c r="A23" s="36" t="s">
        <v>41</v>
      </c>
      <c r="B23" s="62">
        <v>292</v>
      </c>
    </row>
    <row r="24" spans="1:2" x14ac:dyDescent="0.2">
      <c r="A24" s="34" t="s">
        <v>44</v>
      </c>
      <c r="B24" s="63">
        <f>B20*75%</f>
        <v>133.5</v>
      </c>
    </row>
    <row r="25" spans="1:2" x14ac:dyDescent="0.2">
      <c r="A25" s="35" t="s">
        <v>39</v>
      </c>
      <c r="B25" s="64">
        <f>B21*75%</f>
        <v>133.5</v>
      </c>
    </row>
    <row r="26" spans="1:2" x14ac:dyDescent="0.2">
      <c r="A26" s="35" t="s">
        <v>40</v>
      </c>
      <c r="B26" s="61">
        <f>B22*75%</f>
        <v>183</v>
      </c>
    </row>
    <row r="27" spans="1:2" x14ac:dyDescent="0.2">
      <c r="A27" s="36" t="s">
        <v>41</v>
      </c>
      <c r="B27" s="62">
        <f>B23*75%</f>
        <v>219</v>
      </c>
    </row>
    <row r="30" spans="1:2" x14ac:dyDescent="0.2">
      <c r="A30" s="31" t="s">
        <v>42</v>
      </c>
      <c r="B30" s="24" t="e">
        <f>#REF!</f>
        <v>#REF!</v>
      </c>
    </row>
    <row r="31" spans="1:2" x14ac:dyDescent="0.2">
      <c r="A31" s="22" t="s">
        <v>28</v>
      </c>
      <c r="B31" s="26" t="e">
        <f>IF(AND(#REF!="House Purchase",#REF!=1),VLOOKUP('ONS data'!B17,'ONS data'!A24:B27,2,FALSE),IF(#REF!="House Purchase",VLOOKUP('ONS data'!B17,'ONS data'!A20:B23,2,FALSE),"N/a"))</f>
        <v>#REF!</v>
      </c>
    </row>
    <row r="32" spans="1:2" x14ac:dyDescent="0.2">
      <c r="A32" s="29" t="s">
        <v>0</v>
      </c>
      <c r="B32" s="26" t="e">
        <f>#REF!</f>
        <v>#REF!</v>
      </c>
    </row>
    <row r="33" spans="1:2" x14ac:dyDescent="0.2">
      <c r="A33" s="23" t="s">
        <v>29</v>
      </c>
      <c r="B33" s="25" t="e">
        <f>IF(#REF!="House Purchase",IF(ISERROR(HLOOKUP('ONS data'!B10,'ONS data'!A1:M8,'ONS data'!N8,FALSE)),"",HLOOKUP('ONS data'!B10,'ONS data'!A1:M8,'ONS data'!N8,FALSE)),"N/a")</f>
        <v>#REF!</v>
      </c>
    </row>
    <row r="34" spans="1:2" x14ac:dyDescent="0.2">
      <c r="A34" s="27"/>
      <c r="B34" s="28"/>
    </row>
    <row r="35" spans="1:2" x14ac:dyDescent="0.2">
      <c r="A35" s="30" t="s">
        <v>43</v>
      </c>
      <c r="B35" s="24" t="e">
        <f>#REF!</f>
        <v>#REF!</v>
      </c>
    </row>
    <row r="36" spans="1:2" x14ac:dyDescent="0.2">
      <c r="A36" s="29" t="s">
        <v>52</v>
      </c>
      <c r="B36" s="26" t="str">
        <f>IF(ISERROR(HLOOKUP('ONS data'!B10,'ONS data'!A1:M7,'ONS data'!N7,FALSE)),"",HLOOKUP('ONS data'!B10,'ONS data'!A1:M7,'ONS data'!N7,FALSE))</f>
        <v/>
      </c>
    </row>
    <row r="37" spans="1:2" x14ac:dyDescent="0.2">
      <c r="A37" s="22" t="s">
        <v>2</v>
      </c>
      <c r="B37" s="26" t="str">
        <f>IF(ISERROR(HLOOKUP('ONS data'!B10,'ONS data'!A1:M7,'ONS data'!N3,FALSE)),"",HLOOKUP('ONS data'!B10,'ONS data'!A1:M7,'ONS data'!N3,FALSE))</f>
        <v/>
      </c>
    </row>
    <row r="38" spans="1:2" x14ac:dyDescent="0.2">
      <c r="A38" s="22" t="s">
        <v>3</v>
      </c>
      <c r="B38" s="26" t="str">
        <f>IF(ISERROR(HLOOKUP('ONS data'!B10,'ONS data'!A1:M7,'ONS data'!N4,FALSE)),"",HLOOKUP('ONS data'!B10,'ONS data'!A1:M7,'ONS data'!N4,FALSE))</f>
        <v/>
      </c>
    </row>
    <row r="39" spans="1:2" x14ac:dyDescent="0.2">
      <c r="A39" s="22" t="s">
        <v>4</v>
      </c>
      <c r="B39" s="26" t="str">
        <f>IF(ISERROR(HLOOKUP('ONS data'!B10,'ONS data'!A1:M7,'ONS data'!N5,FALSE)),"",HLOOKUP('ONS data'!B10,'ONS data'!A1:M7,'ONS data'!N5,FALSE))</f>
        <v/>
      </c>
    </row>
    <row r="40" spans="1:2" x14ac:dyDescent="0.2">
      <c r="A40" s="23" t="s">
        <v>5</v>
      </c>
      <c r="B40" s="25" t="str">
        <f>IF(ISERROR(HLOOKUP('ONS data'!B10,'ONS data'!A1:M7,'ONS data'!N6,FALSE)),"",HLOOKUP('ONS data'!B10,'ONS data'!A1:M7,'ONS data'!N6,FALSE))</f>
        <v/>
      </c>
    </row>
    <row r="42" spans="1:2" x14ac:dyDescent="0.2">
      <c r="A42" s="21" t="s">
        <v>20</v>
      </c>
      <c r="B42" s="24" t="e">
        <f>IF(#REF!="","",+(#REF!*$B$49)/((1-(1/(1+$B$49/12)^((LEFT(#REF!,2)*12)+RIGHT(#REF!*100,2))))*12))</f>
        <v>#REF!</v>
      </c>
    </row>
    <row r="43" spans="1:2" x14ac:dyDescent="0.2">
      <c r="A43" s="22" t="s">
        <v>20</v>
      </c>
      <c r="B43" s="26" t="e">
        <f>IF(#REF!="","",+(#REF!*$B$49)/((1-(1/(1+$B$49/12)^((LEFT(#REF!,2)*12)+RIGHT(#REF!*100,2))))*12))</f>
        <v>#REF!</v>
      </c>
    </row>
    <row r="44" spans="1:2" x14ac:dyDescent="0.2">
      <c r="A44" s="22" t="s">
        <v>21</v>
      </c>
      <c r="B44" s="26" t="e">
        <f>IF(#REF!="","",+#REF!*$B$49/12)</f>
        <v>#REF!</v>
      </c>
    </row>
    <row r="45" spans="1:2" x14ac:dyDescent="0.2">
      <c r="A45" s="22" t="s">
        <v>21</v>
      </c>
      <c r="B45" s="26" t="e">
        <f>IF(#REF!="","",+#REF!*$B$49/12)</f>
        <v>#REF!</v>
      </c>
    </row>
    <row r="46" spans="1:2" x14ac:dyDescent="0.2">
      <c r="A46" s="22" t="s">
        <v>22</v>
      </c>
      <c r="B46" s="26" t="e">
        <f>SUM(B42:B45)</f>
        <v>#REF!</v>
      </c>
    </row>
    <row r="47" spans="1:2" x14ac:dyDescent="0.2">
      <c r="A47" s="22" t="s">
        <v>6</v>
      </c>
      <c r="B47" s="26" t="e">
        <f>IF(OR(AND(B42="",B43="",B44="",B45="")),"",SUM(#REF!)-SUM('ONS data'!B12:B14,#REF!,'ONS data'!B37:B40))</f>
        <v>#REF!</v>
      </c>
    </row>
    <row r="48" spans="1:2" x14ac:dyDescent="0.2">
      <c r="A48" s="22" t="s">
        <v>7</v>
      </c>
      <c r="B48" s="33" t="e">
        <f>IF(OR($B$46="",$B$47=""),"",B46/B47)</f>
        <v>#REF!</v>
      </c>
    </row>
    <row r="49" spans="1:2" x14ac:dyDescent="0.2">
      <c r="A49" s="23" t="s">
        <v>8</v>
      </c>
      <c r="B49" s="32">
        <v>8.2000000000000003E-2</v>
      </c>
    </row>
    <row r="50" spans="1:2" x14ac:dyDescent="0.2">
      <c r="A50" s="27"/>
      <c r="B50" s="65"/>
    </row>
    <row r="51" spans="1:2" x14ac:dyDescent="0.2">
      <c r="A51" s="1" t="s">
        <v>49</v>
      </c>
      <c r="B51" t="e">
        <f>IF('ONS data'!B48="","Affordability Result",IF(OR(#REF!="",#REF!="",#REF!="",#REF!="",#REF!=""),"Affordability Result",IF(OR('ONS data'!B48&gt;1,'ONS data'!B48&lt;0),"FAIL",IF(OR('ONS data'!B48&gt;0,'ONS data'!B48&lt;=100),"PASS"))))</f>
        <v>#REF!</v>
      </c>
    </row>
    <row r="52" spans="1:2" x14ac:dyDescent="0.2">
      <c r="A52" s="13" t="s">
        <v>50</v>
      </c>
      <c r="B52" t="e">
        <f>IF(#REF!*4.5&gt;=SUM(#REF!),"PASS","FAIL")</f>
        <v>#REF!</v>
      </c>
    </row>
  </sheetData>
  <customSheetViews>
    <customSheetView guid="{4D5D8FA7-F3F0-4AE1-8C5F-00D21D6271E7}">
      <selection activeCell="M2" sqref="M2"/>
      <pageMargins left="0.7" right="0.7" top="0.75" bottom="0.75" header="0.3" footer="0.3"/>
      <pageSetup paperSize="9" orientation="landscape" r:id="rId1"/>
    </customSheetView>
  </customSheetViews>
  <phoneticPr fontId="0" type="noConversion"/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66"/>
  <sheetViews>
    <sheetView tabSelected="1" zoomScale="120" zoomScaleNormal="120" workbookViewId="0">
      <selection activeCell="G13" sqref="G13"/>
    </sheetView>
  </sheetViews>
  <sheetFormatPr defaultColWidth="9.28515625" defaultRowHeight="12.75" x14ac:dyDescent="0.2"/>
  <cols>
    <col min="1" max="2" width="1.140625" style="67" customWidth="1"/>
    <col min="3" max="3" width="14" style="67" customWidth="1"/>
    <col min="4" max="4" width="11.85546875" style="67" customWidth="1"/>
    <col min="5" max="5" width="9.7109375" style="67" customWidth="1"/>
    <col min="6" max="6" width="10.28515625" style="67" customWidth="1"/>
    <col min="7" max="7" width="9.85546875" style="67" customWidth="1"/>
    <col min="8" max="8" width="22.42578125" style="67" customWidth="1"/>
    <col min="9" max="9" width="11.7109375" style="67" customWidth="1"/>
    <col min="10" max="10" width="12.28515625" style="67" customWidth="1"/>
    <col min="11" max="16384" width="9.28515625" style="67"/>
  </cols>
  <sheetData>
    <row r="1" spans="1:28" ht="4.5" customHeight="1" thickBot="1" x14ac:dyDescent="0.25">
      <c r="C1" s="71"/>
      <c r="D1" s="71"/>
      <c r="E1" s="71"/>
      <c r="F1" s="71"/>
      <c r="G1" s="71"/>
      <c r="H1" s="71"/>
      <c r="I1" s="71"/>
    </row>
    <row r="2" spans="1:28" s="68" customFormat="1" ht="71.650000000000006" customHeight="1" x14ac:dyDescent="0.35">
      <c r="A2" s="89"/>
      <c r="B2" s="90" t="s">
        <v>82</v>
      </c>
      <c r="C2" s="115" t="s">
        <v>85</v>
      </c>
      <c r="D2" s="116"/>
      <c r="E2" s="116"/>
      <c r="F2" s="116"/>
      <c r="G2" s="116"/>
      <c r="H2" s="116"/>
      <c r="I2" s="81"/>
      <c r="J2" s="109"/>
      <c r="K2" s="110"/>
      <c r="L2" s="110"/>
      <c r="M2" s="110"/>
      <c r="N2" s="110"/>
      <c r="O2" s="110"/>
      <c r="P2" s="111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8" s="66" customFormat="1" ht="19.350000000000001" customHeight="1" x14ac:dyDescent="0.2">
      <c r="A3" s="69"/>
      <c r="B3" s="195" t="s">
        <v>59</v>
      </c>
      <c r="C3" s="189"/>
      <c r="D3" s="189">
        <f ca="1">TODAY()</f>
        <v>45607</v>
      </c>
      <c r="E3" s="189"/>
      <c r="F3" s="190"/>
      <c r="G3" s="191"/>
      <c r="H3" s="191"/>
      <c r="I3" s="83"/>
      <c r="J3" s="129"/>
      <c r="K3" s="129"/>
      <c r="L3" s="175"/>
      <c r="M3" s="175"/>
      <c r="N3" s="175"/>
      <c r="O3" s="175"/>
      <c r="P3" s="175"/>
      <c r="Q3" s="175"/>
      <c r="R3" s="175"/>
      <c r="S3" s="129"/>
      <c r="T3" s="129"/>
      <c r="U3" s="111"/>
      <c r="V3" s="111"/>
      <c r="W3" s="111"/>
      <c r="X3" s="111"/>
      <c r="Y3" s="111"/>
      <c r="Z3" s="111"/>
      <c r="AA3" s="111"/>
      <c r="AB3" s="111"/>
    </row>
    <row r="4" spans="1:28" ht="20.25" customHeight="1" x14ac:dyDescent="0.2">
      <c r="A4" s="69"/>
      <c r="B4" s="166" t="s">
        <v>67</v>
      </c>
      <c r="C4" s="167"/>
      <c r="D4" s="167"/>
      <c r="E4" s="167"/>
      <c r="F4" s="167"/>
      <c r="G4" s="167"/>
      <c r="H4" s="167"/>
      <c r="I4" s="168"/>
      <c r="J4" s="130"/>
      <c r="K4" s="130"/>
      <c r="L4" s="175"/>
      <c r="M4" s="175"/>
      <c r="N4" s="175"/>
      <c r="O4" s="175"/>
      <c r="P4" s="175"/>
      <c r="Q4" s="175"/>
      <c r="R4" s="175"/>
      <c r="S4" s="131"/>
      <c r="T4" s="131"/>
      <c r="U4" s="112"/>
      <c r="V4" s="112"/>
      <c r="W4" s="112"/>
      <c r="X4" s="112"/>
      <c r="Y4" s="112"/>
      <c r="Z4" s="112"/>
      <c r="AA4" s="112"/>
      <c r="AB4" s="112"/>
    </row>
    <row r="5" spans="1:28" s="18" customFormat="1" ht="15" customHeight="1" x14ac:dyDescent="0.2">
      <c r="A5" s="80"/>
      <c r="B5" s="132"/>
      <c r="C5" s="192" t="s">
        <v>81</v>
      </c>
      <c r="D5" s="193"/>
      <c r="E5" s="193"/>
      <c r="F5" s="78"/>
      <c r="G5" s="93" t="s">
        <v>60</v>
      </c>
      <c r="H5" s="91"/>
      <c r="I5" s="92"/>
      <c r="J5" s="131"/>
      <c r="K5" s="131"/>
      <c r="L5" s="175"/>
      <c r="M5" s="175"/>
      <c r="N5" s="175"/>
      <c r="O5" s="175"/>
      <c r="P5" s="175"/>
      <c r="Q5" s="175"/>
      <c r="R5" s="175"/>
      <c r="S5" s="130"/>
      <c r="T5" s="130"/>
      <c r="U5" s="113"/>
      <c r="V5" s="113"/>
      <c r="W5" s="113"/>
      <c r="X5" s="113"/>
      <c r="Y5" s="113"/>
      <c r="Z5" s="113"/>
      <c r="AA5" s="113"/>
      <c r="AB5" s="113"/>
    </row>
    <row r="6" spans="1:28" ht="13.5" customHeight="1" x14ac:dyDescent="0.2">
      <c r="A6" s="69"/>
      <c r="B6" s="72"/>
      <c r="C6" s="70"/>
      <c r="D6" s="70"/>
      <c r="E6" s="72"/>
      <c r="F6" s="72"/>
      <c r="G6" s="72"/>
      <c r="H6" s="72"/>
      <c r="I6" s="73"/>
      <c r="J6" s="130"/>
      <c r="K6" s="130"/>
      <c r="L6" s="175"/>
      <c r="M6" s="175"/>
      <c r="N6" s="175"/>
      <c r="O6" s="175"/>
      <c r="P6" s="175"/>
      <c r="Q6" s="175"/>
      <c r="R6" s="175"/>
      <c r="S6" s="130"/>
      <c r="T6" s="130"/>
      <c r="U6" s="112"/>
      <c r="V6" s="112"/>
      <c r="W6" s="112"/>
      <c r="X6" s="112"/>
      <c r="Y6" s="112"/>
      <c r="Z6" s="112"/>
      <c r="AA6" s="112"/>
      <c r="AB6" s="112"/>
    </row>
    <row r="7" spans="1:28" ht="13.5" customHeight="1" x14ac:dyDescent="0.2">
      <c r="A7" s="69"/>
      <c r="B7" s="72"/>
      <c r="C7" s="179" t="s">
        <v>79</v>
      </c>
      <c r="D7" s="180"/>
      <c r="E7" s="104"/>
      <c r="F7" s="72"/>
      <c r="G7" s="105" t="s">
        <v>68</v>
      </c>
      <c r="H7" s="106">
        <f>MAX(5.5,(E7+2))</f>
        <v>5.5</v>
      </c>
      <c r="I7" s="73"/>
      <c r="J7" s="130"/>
      <c r="K7" s="130"/>
      <c r="L7" s="175"/>
      <c r="M7" s="175"/>
      <c r="N7" s="175"/>
      <c r="O7" s="175"/>
      <c r="P7" s="175"/>
      <c r="Q7" s="175"/>
      <c r="R7" s="175"/>
      <c r="S7" s="130"/>
      <c r="T7" s="130"/>
      <c r="U7" s="112"/>
      <c r="V7" s="112"/>
      <c r="W7" s="112"/>
      <c r="X7" s="112"/>
      <c r="Y7" s="112"/>
      <c r="Z7" s="112"/>
      <c r="AA7" s="112"/>
      <c r="AB7" s="112"/>
    </row>
    <row r="8" spans="1:28" ht="13.5" customHeight="1" x14ac:dyDescent="0.2">
      <c r="A8" s="69"/>
      <c r="B8" s="72"/>
      <c r="C8" s="119"/>
      <c r="D8" s="102"/>
      <c r="E8" s="133"/>
      <c r="F8" s="72"/>
      <c r="G8" s="119"/>
      <c r="H8" s="101"/>
      <c r="I8" s="73"/>
      <c r="J8" s="130"/>
      <c r="K8" s="130"/>
      <c r="L8" s="175"/>
      <c r="M8" s="175"/>
      <c r="N8" s="175"/>
      <c r="O8" s="175"/>
      <c r="P8" s="175"/>
      <c r="Q8" s="175"/>
      <c r="R8" s="175"/>
      <c r="S8" s="130"/>
      <c r="T8" s="130"/>
      <c r="U8" s="112"/>
      <c r="V8" s="112"/>
      <c r="W8" s="112"/>
      <c r="X8" s="112"/>
      <c r="Y8" s="112"/>
      <c r="Z8" s="112"/>
      <c r="AA8" s="112"/>
      <c r="AB8" s="112"/>
    </row>
    <row r="9" spans="1:28" ht="13.5" customHeight="1" x14ac:dyDescent="0.2">
      <c r="A9" s="69"/>
      <c r="B9" s="72"/>
      <c r="C9" s="179" t="s">
        <v>80</v>
      </c>
      <c r="D9" s="180"/>
      <c r="E9" s="181"/>
      <c r="F9" s="78"/>
      <c r="G9" s="103" t="s">
        <v>60</v>
      </c>
      <c r="H9" s="101"/>
      <c r="I9" s="73"/>
      <c r="J9" s="130"/>
      <c r="K9" s="130"/>
      <c r="L9" s="175"/>
      <c r="M9" s="175"/>
      <c r="N9" s="175"/>
      <c r="O9" s="175"/>
      <c r="P9" s="175"/>
      <c r="Q9" s="175"/>
      <c r="R9" s="175"/>
      <c r="S9" s="130"/>
      <c r="T9" s="130"/>
      <c r="U9" s="112"/>
      <c r="V9" s="112"/>
      <c r="W9" s="112"/>
      <c r="X9" s="112"/>
      <c r="Y9" s="112"/>
      <c r="Z9" s="112"/>
      <c r="AA9" s="112"/>
      <c r="AB9" s="112"/>
    </row>
    <row r="10" spans="1:28" ht="14.25" customHeight="1" x14ac:dyDescent="0.25">
      <c r="A10" s="69"/>
      <c r="B10" s="72"/>
      <c r="C10" s="97"/>
      <c r="D10" s="120"/>
      <c r="E10" s="165"/>
      <c r="F10" s="165"/>
      <c r="G10" s="85"/>
      <c r="H10" s="86"/>
      <c r="I10" s="114"/>
      <c r="J10" s="130"/>
      <c r="K10" s="130"/>
      <c r="L10" s="175"/>
      <c r="M10" s="175"/>
      <c r="N10" s="175"/>
      <c r="O10" s="175"/>
      <c r="P10" s="175"/>
      <c r="Q10" s="175"/>
      <c r="R10" s="175"/>
      <c r="S10" s="130"/>
      <c r="T10" s="130"/>
      <c r="U10" s="112"/>
      <c r="V10" s="112"/>
      <c r="W10" s="112"/>
      <c r="X10" s="112"/>
      <c r="Y10" s="112"/>
      <c r="Z10" s="112"/>
      <c r="AA10" s="112"/>
      <c r="AB10" s="112"/>
    </row>
    <row r="11" spans="1:28" ht="14.25" customHeight="1" x14ac:dyDescent="0.25">
      <c r="A11" s="69"/>
      <c r="B11" s="72"/>
      <c r="C11" s="97" t="s">
        <v>55</v>
      </c>
      <c r="D11" s="120"/>
      <c r="E11" s="118"/>
      <c r="F11" s="118"/>
      <c r="G11" s="85"/>
      <c r="H11" s="86"/>
      <c r="I11" s="114"/>
      <c r="J11" s="130"/>
      <c r="K11" s="130"/>
      <c r="L11" s="175"/>
      <c r="M11" s="175"/>
      <c r="N11" s="175"/>
      <c r="O11" s="175"/>
      <c r="P11" s="175"/>
      <c r="Q11" s="175"/>
      <c r="R11" s="175"/>
      <c r="S11" s="130"/>
      <c r="T11" s="130"/>
      <c r="U11" s="112"/>
      <c r="V11" s="112"/>
      <c r="W11" s="112"/>
      <c r="X11" s="112"/>
      <c r="Y11" s="112"/>
      <c r="Z11" s="112"/>
      <c r="AA11" s="112"/>
      <c r="AB11" s="112"/>
    </row>
    <row r="12" spans="1:28" ht="13.5" customHeight="1" x14ac:dyDescent="0.2">
      <c r="A12" s="69"/>
      <c r="B12" s="72"/>
      <c r="C12" s="72"/>
      <c r="D12" s="72"/>
      <c r="E12" s="72"/>
      <c r="F12" s="72"/>
      <c r="G12" s="72"/>
      <c r="H12" s="86"/>
      <c r="I12" s="114"/>
      <c r="J12" s="130"/>
      <c r="K12" s="130"/>
      <c r="L12" s="175"/>
      <c r="M12" s="175"/>
      <c r="N12" s="175"/>
      <c r="O12" s="175"/>
      <c r="P12" s="175"/>
      <c r="Q12" s="175"/>
      <c r="R12" s="175"/>
      <c r="S12" s="130"/>
      <c r="T12" s="130"/>
      <c r="U12" s="112"/>
      <c r="V12" s="112"/>
      <c r="W12" s="112"/>
      <c r="X12" s="112"/>
      <c r="Y12" s="112"/>
      <c r="Z12" s="112"/>
      <c r="AA12" s="112"/>
      <c r="AB12" s="112"/>
    </row>
    <row r="13" spans="1:28" ht="13.5" customHeight="1" x14ac:dyDescent="0.2">
      <c r="A13" s="69"/>
      <c r="B13" s="72"/>
      <c r="C13" s="186" t="s">
        <v>84</v>
      </c>
      <c r="D13" s="186"/>
      <c r="E13" s="186"/>
      <c r="F13" s="186"/>
      <c r="G13" s="147"/>
      <c r="H13" s="93" t="s">
        <v>60</v>
      </c>
      <c r="I13" s="114"/>
      <c r="J13" s="130"/>
      <c r="K13" s="130"/>
      <c r="L13" s="175"/>
      <c r="M13" s="175"/>
      <c r="N13" s="175"/>
      <c r="O13" s="175"/>
      <c r="P13" s="175"/>
      <c r="Q13" s="175"/>
      <c r="R13" s="175"/>
      <c r="S13" s="130"/>
      <c r="T13" s="130"/>
      <c r="U13" s="112"/>
      <c r="V13" s="112"/>
      <c r="W13" s="112"/>
      <c r="X13" s="112"/>
      <c r="Y13" s="112"/>
      <c r="Z13" s="112"/>
      <c r="AA13" s="112"/>
      <c r="AB13" s="112"/>
    </row>
    <row r="14" spans="1:28" ht="13.5" customHeight="1" x14ac:dyDescent="0.2">
      <c r="A14" s="69"/>
      <c r="B14" s="72"/>
      <c r="C14" s="72"/>
      <c r="D14" s="72"/>
      <c r="E14" s="72"/>
      <c r="F14" s="72"/>
      <c r="G14" s="72"/>
      <c r="H14" s="86"/>
      <c r="I14" s="114"/>
      <c r="J14" s="130"/>
      <c r="K14" s="130"/>
      <c r="L14" s="175"/>
      <c r="M14" s="175"/>
      <c r="N14" s="175"/>
      <c r="O14" s="175"/>
      <c r="P14" s="175"/>
      <c r="Q14" s="175"/>
      <c r="R14" s="175"/>
      <c r="S14" s="130"/>
      <c r="T14" s="130"/>
      <c r="U14" s="112"/>
      <c r="V14" s="112"/>
      <c r="W14" s="112"/>
      <c r="X14" s="112"/>
      <c r="Y14" s="112"/>
      <c r="Z14" s="112"/>
      <c r="AA14" s="112"/>
      <c r="AB14" s="112"/>
    </row>
    <row r="15" spans="1:28" ht="15" customHeight="1" x14ac:dyDescent="0.25">
      <c r="A15" s="69"/>
      <c r="B15" s="72"/>
      <c r="C15" s="163" t="s">
        <v>54</v>
      </c>
      <c r="D15" s="164"/>
      <c r="E15" s="164"/>
      <c r="F15" s="78" t="s">
        <v>87</v>
      </c>
      <c r="G15" s="93" t="s">
        <v>60</v>
      </c>
      <c r="H15" s="87"/>
      <c r="I15" s="134"/>
      <c r="J15" s="130"/>
      <c r="K15" s="130"/>
      <c r="L15" s="175"/>
      <c r="M15" s="175"/>
      <c r="N15" s="175"/>
      <c r="O15" s="175"/>
      <c r="P15" s="175"/>
      <c r="Q15" s="175"/>
      <c r="R15" s="175"/>
      <c r="S15" s="130"/>
      <c r="T15" s="130"/>
      <c r="U15" s="112"/>
      <c r="V15" s="112"/>
      <c r="W15" s="112"/>
      <c r="X15" s="112"/>
      <c r="Y15" s="112"/>
      <c r="Z15" s="112"/>
      <c r="AA15" s="112"/>
      <c r="AB15" s="112"/>
    </row>
    <row r="16" spans="1:28" ht="12.75" customHeight="1" x14ac:dyDescent="0.2">
      <c r="A16" s="69"/>
      <c r="B16" s="72"/>
      <c r="C16" s="76"/>
      <c r="D16" s="75"/>
      <c r="E16" s="75"/>
      <c r="F16" s="107" t="s">
        <v>73</v>
      </c>
      <c r="G16" s="98"/>
      <c r="H16" s="98"/>
      <c r="I16" s="99"/>
      <c r="J16" s="130"/>
      <c r="K16" s="130"/>
      <c r="L16" s="175"/>
      <c r="M16" s="175"/>
      <c r="N16" s="175"/>
      <c r="O16" s="175"/>
      <c r="P16" s="175"/>
      <c r="Q16" s="175"/>
      <c r="R16" s="175"/>
      <c r="S16" s="130"/>
      <c r="T16" s="130"/>
      <c r="U16" s="112"/>
      <c r="V16" s="112"/>
      <c r="W16" s="112"/>
      <c r="X16" s="112"/>
      <c r="Y16" s="112"/>
      <c r="Z16" s="112"/>
      <c r="AA16" s="112"/>
      <c r="AB16" s="112"/>
    </row>
    <row r="17" spans="1:28" ht="15" customHeight="1" x14ac:dyDescent="0.2">
      <c r="A17" s="69"/>
      <c r="B17" s="72"/>
      <c r="C17" s="117" t="s">
        <v>64</v>
      </c>
      <c r="D17" s="169"/>
      <c r="E17" s="169"/>
      <c r="F17" s="108">
        <f>IFERROR(SUM(D19/D17)*100,0)</f>
        <v>0</v>
      </c>
      <c r="G17" s="182" t="str">
        <f>IF(F17&gt;75,"Please note, Maximum LTV 75% (Flats 60%)",IF(AND(F17&gt;60,F15="Yes",G13="No"),"Please note, Maximum LTV of 60% for flats/maisonettes",IF(AND(F17&gt;60,G13="Yes"),"Please note, Maximum LTV of 60% for TA remortgage","")))</f>
        <v/>
      </c>
      <c r="H17" s="183"/>
      <c r="I17" s="184"/>
      <c r="J17" s="135"/>
      <c r="K17" s="135"/>
      <c r="L17" s="175"/>
      <c r="M17" s="175"/>
      <c r="N17" s="175"/>
      <c r="O17" s="175"/>
      <c r="P17" s="175"/>
      <c r="Q17" s="175"/>
      <c r="R17" s="175"/>
      <c r="S17" s="130"/>
      <c r="T17" s="130"/>
      <c r="U17" s="112"/>
      <c r="V17" s="112"/>
      <c r="W17" s="112"/>
      <c r="X17" s="112"/>
      <c r="Y17" s="112"/>
      <c r="Z17" s="112"/>
      <c r="AA17" s="112"/>
      <c r="AB17" s="112"/>
    </row>
    <row r="18" spans="1:28" x14ac:dyDescent="0.2">
      <c r="A18" s="69"/>
      <c r="B18" s="72"/>
      <c r="C18" s="74"/>
      <c r="D18" s="72"/>
      <c r="E18" s="72"/>
      <c r="F18" s="98"/>
      <c r="G18" s="98"/>
      <c r="H18" s="98"/>
      <c r="I18" s="99"/>
      <c r="J18" s="130"/>
      <c r="K18" s="130"/>
      <c r="L18" s="175"/>
      <c r="M18" s="175"/>
      <c r="N18" s="175"/>
      <c r="O18" s="175"/>
      <c r="P18" s="175"/>
      <c r="Q18" s="175"/>
      <c r="R18" s="175"/>
      <c r="S18" s="130"/>
      <c r="T18" s="130"/>
      <c r="U18" s="112"/>
      <c r="V18" s="112"/>
      <c r="W18" s="112"/>
      <c r="X18" s="112"/>
      <c r="Y18" s="112"/>
      <c r="Z18" s="112"/>
      <c r="AA18" s="112"/>
      <c r="AB18" s="112"/>
    </row>
    <row r="19" spans="1:28" ht="15" customHeight="1" x14ac:dyDescent="0.25">
      <c r="A19" s="69"/>
      <c r="B19" s="72"/>
      <c r="C19" s="117" t="s">
        <v>65</v>
      </c>
      <c r="D19" s="169"/>
      <c r="E19" s="170"/>
      <c r="F19" s="95" t="str">
        <f>IF(F17&gt;70,"Please note, Minimum loan size of £125,250",IF(D19&gt;750000,"Please note, Maximum loan size exceeded",IF(AND(F17&gt;65,F17&lt;70.1),"Please note, Minimum loan size of £117000","")))</f>
        <v/>
      </c>
      <c r="G19" s="86"/>
      <c r="H19" s="159"/>
      <c r="I19" s="136"/>
      <c r="J19" s="130"/>
      <c r="K19" s="130"/>
      <c r="L19" s="175"/>
      <c r="M19" s="175"/>
      <c r="N19" s="175"/>
      <c r="O19" s="175"/>
      <c r="P19" s="175"/>
      <c r="Q19" s="175"/>
      <c r="R19" s="175"/>
      <c r="S19" s="130"/>
      <c r="T19" s="130"/>
      <c r="U19" s="112"/>
      <c r="V19" s="112"/>
      <c r="W19" s="112"/>
      <c r="X19" s="112"/>
      <c r="Y19" s="112"/>
      <c r="Z19" s="112"/>
      <c r="AA19" s="112"/>
      <c r="AB19" s="112"/>
    </row>
    <row r="20" spans="1:28" ht="12.6" customHeight="1" x14ac:dyDescent="0.25">
      <c r="A20" s="69"/>
      <c r="B20" s="72"/>
      <c r="C20" s="77"/>
      <c r="D20" s="75"/>
      <c r="E20" s="79"/>
      <c r="F20" s="79"/>
      <c r="G20" s="151"/>
      <c r="H20" s="100"/>
      <c r="I20" s="82"/>
      <c r="J20" s="130"/>
      <c r="K20" s="130"/>
      <c r="L20" s="175"/>
      <c r="M20" s="175"/>
      <c r="N20" s="175"/>
      <c r="O20" s="175"/>
      <c r="P20" s="175"/>
      <c r="Q20" s="175"/>
      <c r="R20" s="175"/>
      <c r="S20" s="130"/>
      <c r="T20" s="130"/>
      <c r="U20" s="112"/>
      <c r="V20" s="112"/>
      <c r="W20" s="112"/>
      <c r="X20" s="112"/>
      <c r="Y20" s="112"/>
      <c r="Z20" s="112"/>
      <c r="AA20" s="112"/>
      <c r="AB20" s="112"/>
    </row>
    <row r="21" spans="1:28" ht="15" customHeight="1" x14ac:dyDescent="0.25">
      <c r="A21" s="69"/>
      <c r="B21" s="137"/>
      <c r="C21" s="96" t="s">
        <v>66</v>
      </c>
      <c r="D21" s="169"/>
      <c r="E21" s="169"/>
      <c r="F21" s="94" t="s">
        <v>63</v>
      </c>
      <c r="G21" s="187" t="s">
        <v>78</v>
      </c>
      <c r="H21" s="188"/>
      <c r="I21" s="153">
        <f>IF(OR(AND(F5="Yes",F9="Yes",H25="PASS-Income Assessment Required"),AND(F5="No",F9="Yes",H25="PASS-Income Assessment Required")),H35,IF(OR(AND(F5="Yes",F9="No",H25="PASS-Income Assessment Required"),AND(F5="No",F9="No",H25="PASS-Income Assessment Required")),J35,0))</f>
        <v>0</v>
      </c>
      <c r="J21" s="130"/>
      <c r="K21" s="130"/>
      <c r="L21" s="175"/>
      <c r="M21" s="175"/>
      <c r="N21" s="175"/>
      <c r="O21" s="175"/>
      <c r="P21" s="175"/>
      <c r="Q21" s="175"/>
      <c r="R21" s="175"/>
      <c r="S21" s="130"/>
      <c r="T21" s="130"/>
      <c r="U21" s="112"/>
      <c r="V21" s="112"/>
      <c r="W21" s="112"/>
      <c r="X21" s="112"/>
      <c r="Y21" s="112"/>
      <c r="Z21" s="112"/>
      <c r="AA21" s="112"/>
      <c r="AB21" s="112"/>
    </row>
    <row r="22" spans="1:28" ht="11.25" customHeight="1" x14ac:dyDescent="0.25">
      <c r="A22" s="69"/>
      <c r="B22" s="72"/>
      <c r="C22" s="72"/>
      <c r="D22" s="72"/>
      <c r="E22" s="72"/>
      <c r="F22" s="72"/>
      <c r="G22" s="151"/>
      <c r="H22" s="160"/>
      <c r="I22" s="161"/>
      <c r="J22" s="130"/>
      <c r="K22" s="130"/>
      <c r="L22" s="175"/>
      <c r="M22" s="175"/>
      <c r="N22" s="175"/>
      <c r="O22" s="175"/>
      <c r="P22" s="175"/>
      <c r="Q22" s="175"/>
      <c r="R22" s="175"/>
      <c r="S22" s="130"/>
      <c r="T22" s="130"/>
      <c r="U22" s="112"/>
      <c r="V22" s="112"/>
      <c r="W22" s="112"/>
      <c r="X22" s="112"/>
      <c r="Y22" s="112"/>
      <c r="Z22" s="112"/>
      <c r="AA22" s="112"/>
      <c r="AB22" s="112"/>
    </row>
    <row r="23" spans="1:28" x14ac:dyDescent="0.2">
      <c r="A23" s="69"/>
      <c r="B23" s="72"/>
      <c r="C23" s="97" t="s">
        <v>56</v>
      </c>
      <c r="D23" s="120"/>
      <c r="E23" s="72"/>
      <c r="F23" s="72"/>
      <c r="G23" s="86"/>
      <c r="H23" s="86"/>
      <c r="I23" s="114"/>
      <c r="J23" s="130"/>
      <c r="K23" s="130"/>
      <c r="L23" s="175"/>
      <c r="M23" s="175"/>
      <c r="N23" s="175"/>
      <c r="O23" s="175"/>
      <c r="P23" s="175"/>
      <c r="Q23" s="175"/>
      <c r="R23" s="175"/>
      <c r="S23" s="130"/>
      <c r="T23" s="130"/>
      <c r="U23" s="112"/>
      <c r="V23" s="112"/>
      <c r="W23" s="112"/>
      <c r="X23" s="112"/>
      <c r="Y23" s="112"/>
      <c r="Z23" s="112"/>
      <c r="AA23" s="112"/>
      <c r="AB23" s="112"/>
    </row>
    <row r="24" spans="1:28" ht="11.25" customHeight="1" x14ac:dyDescent="0.2">
      <c r="A24" s="69"/>
      <c r="B24" s="72"/>
      <c r="C24" s="72"/>
      <c r="D24" s="72"/>
      <c r="E24" s="72"/>
      <c r="F24" s="72"/>
      <c r="G24" s="120" t="str">
        <f>IF(H25="PASS-Income Assessment Required","Please note, For Acceptable Currencies Only","")</f>
        <v/>
      </c>
      <c r="H24" s="120"/>
      <c r="I24" s="73"/>
      <c r="J24" s="130"/>
      <c r="K24" s="130"/>
      <c r="L24" s="175"/>
      <c r="M24" s="175"/>
      <c r="N24" s="175"/>
      <c r="O24" s="175"/>
      <c r="P24" s="175"/>
      <c r="Q24" s="175"/>
      <c r="R24" s="175"/>
      <c r="S24" s="130"/>
      <c r="T24" s="130"/>
      <c r="U24" s="112"/>
      <c r="V24" s="112"/>
      <c r="W24" s="112"/>
      <c r="X24" s="112"/>
      <c r="Y24" s="112"/>
      <c r="Z24" s="112"/>
      <c r="AA24" s="112"/>
      <c r="AB24" s="112"/>
    </row>
    <row r="25" spans="1:28" ht="15" customHeight="1" x14ac:dyDescent="0.2">
      <c r="A25" s="69"/>
      <c r="B25" s="138"/>
      <c r="C25" s="185" t="s">
        <v>57</v>
      </c>
      <c r="D25" s="185"/>
      <c r="E25" s="185"/>
      <c r="F25" s="185"/>
      <c r="G25" s="88"/>
      <c r="H25" s="194" t="str">
        <f>IF(OR(F17&gt;75,AND(F17&gt;60,F15="Yes"),AND(F17&gt;60,G13="Yes"),AND(G13="Yes",D21&lt;F36),AND(F5="Yes",G13="No",D21&lt;F36),AND(F5="No",G13="No",D21&lt;D36)),"FAIL",IF(OR(AND(F5="Yes",C40="PASS",D21&gt;F36,D21&lt;H36),AND(F5="No",C41="PASS",D21&gt;D36,D21&lt;H36), AND(F5="Yes",C42="PASS",D21&gt;F36,D21&lt;J36),AND(F5="No",C43="PASS",D21&gt;D36,D21&lt;J36)),"PASS-Income Assessment Required","PASS"))</f>
        <v>PASS</v>
      </c>
      <c r="I25" s="84"/>
      <c r="J25" s="130"/>
      <c r="K25" s="130"/>
      <c r="L25" s="175"/>
      <c r="M25" s="175"/>
      <c r="N25" s="175"/>
      <c r="O25" s="175"/>
      <c r="P25" s="175"/>
      <c r="Q25" s="175"/>
      <c r="R25" s="175"/>
      <c r="S25" s="130"/>
      <c r="T25" s="130"/>
      <c r="U25" s="112"/>
      <c r="V25" s="112"/>
      <c r="W25" s="112"/>
      <c r="X25" s="112"/>
      <c r="Y25" s="112"/>
      <c r="Z25" s="112"/>
      <c r="AA25" s="112"/>
      <c r="AB25" s="112"/>
    </row>
    <row r="26" spans="1:28" ht="12.6" customHeight="1" x14ac:dyDescent="0.2">
      <c r="A26" s="69"/>
      <c r="B26" s="138"/>
      <c r="C26" s="185" t="s">
        <v>58</v>
      </c>
      <c r="D26" s="185"/>
      <c r="E26" s="185"/>
      <c r="F26" s="185"/>
      <c r="G26" s="185"/>
      <c r="H26" s="194"/>
      <c r="I26" s="84"/>
      <c r="J26" s="130"/>
      <c r="K26" s="130"/>
      <c r="L26" s="175"/>
      <c r="M26" s="175"/>
      <c r="N26" s="175"/>
      <c r="O26" s="175"/>
      <c r="P26" s="175"/>
      <c r="Q26" s="175"/>
      <c r="R26" s="175"/>
      <c r="S26" s="130"/>
      <c r="T26" s="130"/>
      <c r="U26" s="112"/>
      <c r="V26" s="112"/>
      <c r="W26" s="112"/>
      <c r="X26" s="112"/>
      <c r="Y26" s="112"/>
      <c r="Z26" s="112"/>
      <c r="AA26" s="112"/>
      <c r="AB26" s="112"/>
    </row>
    <row r="27" spans="1:28" ht="12.6" customHeight="1" x14ac:dyDescent="0.2">
      <c r="A27" s="69"/>
      <c r="B27" s="138"/>
      <c r="C27" s="154"/>
      <c r="D27" s="154"/>
      <c r="E27" s="154"/>
      <c r="F27" s="154"/>
      <c r="G27" s="154"/>
      <c r="H27" s="155"/>
      <c r="I27" s="156"/>
      <c r="J27" s="130"/>
      <c r="K27" s="130"/>
      <c r="L27" s="175"/>
      <c r="M27" s="175"/>
      <c r="N27" s="175"/>
      <c r="O27" s="175"/>
      <c r="P27" s="175"/>
      <c r="Q27" s="175"/>
      <c r="R27" s="175"/>
      <c r="S27" s="130"/>
      <c r="T27" s="130"/>
      <c r="U27" s="112"/>
      <c r="V27" s="112"/>
      <c r="W27" s="112"/>
      <c r="X27" s="112"/>
      <c r="Y27" s="112"/>
      <c r="Z27" s="112"/>
      <c r="AA27" s="112"/>
      <c r="AB27" s="112"/>
    </row>
    <row r="28" spans="1:28" ht="24.75" customHeight="1" thickBot="1" x14ac:dyDescent="0.25">
      <c r="A28" s="69"/>
      <c r="B28" s="139"/>
      <c r="C28" s="173" t="s">
        <v>83</v>
      </c>
      <c r="D28" s="173"/>
      <c r="E28" s="173"/>
      <c r="F28" s="173"/>
      <c r="G28" s="173"/>
      <c r="H28" s="173"/>
      <c r="I28" s="174"/>
      <c r="J28" s="130"/>
      <c r="K28" s="130"/>
      <c r="L28" s="175"/>
      <c r="M28" s="175"/>
      <c r="N28" s="175"/>
      <c r="O28" s="175"/>
      <c r="P28" s="175"/>
      <c r="Q28" s="175"/>
      <c r="R28" s="175"/>
      <c r="S28" s="130"/>
      <c r="T28" s="130"/>
      <c r="U28" s="112"/>
      <c r="V28" s="112"/>
      <c r="W28" s="112"/>
      <c r="X28" s="112"/>
      <c r="Y28" s="112"/>
      <c r="Z28" s="112"/>
      <c r="AA28" s="112"/>
      <c r="AB28" s="112"/>
    </row>
    <row r="29" spans="1:28" s="18" customFormat="1" ht="7.5" customHeight="1" x14ac:dyDescent="0.2">
      <c r="B29" s="140"/>
      <c r="C29" s="171"/>
      <c r="D29" s="172"/>
      <c r="E29" s="172"/>
      <c r="F29" s="172"/>
      <c r="G29" s="172"/>
      <c r="H29" s="172"/>
      <c r="I29" s="141"/>
      <c r="J29" s="142"/>
      <c r="K29" s="143"/>
      <c r="L29" s="175"/>
      <c r="M29" s="175"/>
      <c r="N29" s="175"/>
      <c r="O29" s="175"/>
      <c r="P29" s="175"/>
      <c r="Q29" s="175"/>
      <c r="R29" s="175"/>
      <c r="S29" s="143"/>
      <c r="T29" s="143"/>
      <c r="U29" s="113"/>
      <c r="V29" s="113"/>
      <c r="W29" s="113"/>
      <c r="X29" s="113"/>
      <c r="Y29" s="113"/>
      <c r="Z29" s="113"/>
      <c r="AA29" s="113"/>
      <c r="AB29" s="113"/>
    </row>
    <row r="30" spans="1:28" s="18" customFormat="1" ht="12.6" customHeight="1" x14ac:dyDescent="0.2">
      <c r="B30" s="176" t="s">
        <v>88</v>
      </c>
      <c r="C30" s="176"/>
      <c r="D30" s="176"/>
      <c r="E30" s="176"/>
      <c r="F30" s="176"/>
      <c r="G30" s="176"/>
      <c r="H30" s="176"/>
      <c r="I30" s="176"/>
      <c r="J30" s="142"/>
      <c r="K30" s="143"/>
      <c r="L30" s="175"/>
      <c r="M30" s="175"/>
      <c r="N30" s="175"/>
      <c r="O30" s="175"/>
      <c r="P30" s="175"/>
      <c r="Q30" s="175"/>
      <c r="R30" s="175"/>
      <c r="S30" s="143"/>
      <c r="T30" s="143"/>
      <c r="U30" s="113"/>
      <c r="V30" s="113"/>
      <c r="W30" s="113"/>
      <c r="X30" s="113"/>
      <c r="Y30" s="113"/>
      <c r="Z30" s="113"/>
      <c r="AA30" s="113"/>
      <c r="AB30" s="113"/>
    </row>
    <row r="31" spans="1:28" s="18" customFormat="1" ht="4.5" customHeight="1" x14ac:dyDescent="0.2">
      <c r="B31" s="145"/>
      <c r="C31" s="146"/>
      <c r="D31" s="144"/>
      <c r="E31" s="144"/>
      <c r="F31" s="144"/>
      <c r="G31" s="144"/>
      <c r="H31" s="144"/>
      <c r="I31" s="144"/>
      <c r="J31" s="142"/>
      <c r="K31" s="143"/>
      <c r="L31" s="175"/>
      <c r="M31" s="175"/>
      <c r="N31" s="175"/>
      <c r="O31" s="175"/>
      <c r="P31" s="175"/>
      <c r="Q31" s="175"/>
      <c r="R31" s="175"/>
      <c r="S31" s="143"/>
      <c r="T31" s="143"/>
      <c r="U31" s="113"/>
      <c r="V31" s="113"/>
      <c r="W31" s="113"/>
      <c r="X31" s="113"/>
      <c r="Y31" s="113"/>
      <c r="Z31" s="113"/>
      <c r="AA31" s="113"/>
      <c r="AB31" s="113"/>
    </row>
    <row r="32" spans="1:28" s="18" customFormat="1" ht="12.75" customHeight="1" x14ac:dyDescent="0.2">
      <c r="B32" s="177" t="s">
        <v>51</v>
      </c>
      <c r="C32" s="177"/>
      <c r="D32" s="177"/>
      <c r="E32" s="177"/>
      <c r="F32" s="177"/>
      <c r="G32" s="177"/>
      <c r="H32" s="177"/>
      <c r="I32" s="177"/>
      <c r="J32" s="142"/>
      <c r="K32" s="143"/>
      <c r="L32" s="175"/>
      <c r="M32" s="175"/>
      <c r="N32" s="175"/>
      <c r="O32" s="175"/>
      <c r="P32" s="175"/>
      <c r="Q32" s="175"/>
      <c r="R32" s="175"/>
      <c r="S32" s="143"/>
      <c r="T32" s="143"/>
      <c r="U32" s="113"/>
      <c r="V32" s="113"/>
      <c r="W32" s="113"/>
      <c r="X32" s="113"/>
      <c r="Y32" s="113"/>
      <c r="Z32" s="113"/>
      <c r="AA32" s="113"/>
      <c r="AB32" s="113"/>
    </row>
    <row r="33" spans="1:28" s="18" customFormat="1" ht="35.1" customHeight="1" x14ac:dyDescent="0.2">
      <c r="A33" s="19"/>
      <c r="B33" s="178" t="s">
        <v>86</v>
      </c>
      <c r="C33" s="178"/>
      <c r="D33" s="178"/>
      <c r="E33" s="178"/>
      <c r="F33" s="178"/>
      <c r="G33" s="178"/>
      <c r="H33" s="178"/>
      <c r="I33" s="178"/>
      <c r="J33" s="143"/>
      <c r="K33" s="143"/>
      <c r="L33" s="175"/>
      <c r="M33" s="175"/>
      <c r="N33" s="175"/>
      <c r="O33" s="175"/>
      <c r="P33" s="175"/>
      <c r="Q33" s="175"/>
      <c r="R33" s="175"/>
      <c r="S33" s="143"/>
      <c r="T33" s="143"/>
      <c r="U33" s="113"/>
      <c r="V33" s="113"/>
      <c r="W33" s="113"/>
      <c r="X33" s="113"/>
      <c r="Y33" s="113"/>
      <c r="Z33" s="113"/>
      <c r="AA33" s="113"/>
      <c r="AB33" s="113"/>
    </row>
    <row r="34" spans="1:28" s="18" customFormat="1" ht="12.75" customHeight="1" x14ac:dyDescent="0.2">
      <c r="A34" s="157"/>
      <c r="B34" s="162"/>
      <c r="C34" s="162"/>
      <c r="D34" s="162"/>
      <c r="E34" s="162"/>
      <c r="F34" s="162"/>
      <c r="G34" s="162"/>
      <c r="H34" s="162"/>
      <c r="I34" s="162"/>
      <c r="J34" s="148"/>
      <c r="K34" s="149"/>
      <c r="L34" s="175"/>
      <c r="M34" s="175"/>
      <c r="N34" s="175"/>
      <c r="O34" s="175"/>
      <c r="P34" s="175"/>
      <c r="Q34" s="175"/>
      <c r="R34" s="175"/>
      <c r="S34" s="143"/>
      <c r="T34" s="143"/>
      <c r="U34" s="113"/>
      <c r="V34" s="113"/>
      <c r="W34" s="113"/>
      <c r="X34" s="113"/>
      <c r="Y34" s="113"/>
      <c r="Z34" s="113"/>
      <c r="AA34" s="113"/>
      <c r="AB34" s="113"/>
    </row>
    <row r="35" spans="1:28" ht="24" x14ac:dyDescent="0.2">
      <c r="A35" s="158"/>
      <c r="B35" s="150"/>
      <c r="C35" s="121" t="s">
        <v>74</v>
      </c>
      <c r="D35" s="122">
        <f>IF(D21&gt;D36,0,D36-D21)</f>
        <v>0</v>
      </c>
      <c r="E35" s="123" t="s">
        <v>75</v>
      </c>
      <c r="F35" s="122">
        <f>IF(D21&gt;F36,0,F36-D21)</f>
        <v>0</v>
      </c>
      <c r="G35" s="123" t="s">
        <v>76</v>
      </c>
      <c r="H35" s="122">
        <f>IF(D21&gt;H36,0,H36-D21)</f>
        <v>0</v>
      </c>
      <c r="I35" s="123" t="s">
        <v>77</v>
      </c>
      <c r="J35" s="124">
        <f>IF(D21&gt;J36,0,J36-D21)</f>
        <v>0</v>
      </c>
      <c r="K35" s="125"/>
      <c r="L35" s="175"/>
      <c r="M35" s="175"/>
      <c r="N35" s="175"/>
      <c r="O35" s="175"/>
      <c r="P35" s="175"/>
      <c r="Q35" s="175"/>
      <c r="R35" s="175"/>
      <c r="S35" s="130"/>
      <c r="T35" s="130"/>
      <c r="U35" s="112"/>
      <c r="V35" s="112"/>
      <c r="W35" s="112"/>
      <c r="X35" s="112"/>
      <c r="Y35" s="112"/>
      <c r="Z35" s="112"/>
      <c r="AA35" s="112"/>
      <c r="AB35" s="112"/>
    </row>
    <row r="36" spans="1:28" s="86" customFormat="1" x14ac:dyDescent="0.2">
      <c r="A36" s="158"/>
      <c r="B36" s="151"/>
      <c r="C36" s="125" t="s">
        <v>72</v>
      </c>
      <c r="D36" s="126">
        <f>IF(F5="Yes",SUM(((D19*D37)*100%)/100)/12,SUM(((D19*D37)*100%)/100)/12)</f>
        <v>0</v>
      </c>
      <c r="E36" s="125" t="s">
        <v>71</v>
      </c>
      <c r="F36" s="126">
        <f>IF(F5="Yes",SUM(((D19*D37)*115%)/100)/12,SUM(((D19*D37)*115%)/100)/12)</f>
        <v>0</v>
      </c>
      <c r="G36" s="125" t="s">
        <v>69</v>
      </c>
      <c r="H36" s="126">
        <f>IF(F5="Yes",SUM(((D19*D37)*125%)/100)/12,SUM(((D19*D37)*125%)/100)/12)</f>
        <v>0</v>
      </c>
      <c r="I36" s="125" t="s">
        <v>70</v>
      </c>
      <c r="J36" s="126">
        <f>IF(F5="Yes",SUM(((D19*D37)*145%)/100)/12,SUM(((D19*D37)*145%)/100)/12)</f>
        <v>0</v>
      </c>
      <c r="K36" s="125"/>
      <c r="L36" s="175"/>
      <c r="M36" s="175"/>
      <c r="N36" s="175"/>
      <c r="O36" s="175"/>
      <c r="P36" s="175"/>
      <c r="Q36" s="175"/>
      <c r="R36" s="175"/>
      <c r="S36" s="130"/>
      <c r="T36" s="130"/>
      <c r="U36" s="112"/>
      <c r="V36" s="112"/>
      <c r="W36" s="112"/>
      <c r="X36" s="112"/>
      <c r="Y36" s="112"/>
      <c r="Z36" s="112"/>
      <c r="AA36" s="112"/>
      <c r="AB36" s="112"/>
    </row>
    <row r="37" spans="1:28" x14ac:dyDescent="0.2">
      <c r="A37" s="158"/>
      <c r="B37" s="151"/>
      <c r="C37" s="127" t="s">
        <v>61</v>
      </c>
      <c r="D37" s="127">
        <f>IF(F5="Yes",E7,IF(G13="Yes",E7,MAX(H7,5.5)))</f>
        <v>5.5</v>
      </c>
      <c r="E37" s="128"/>
      <c r="F37" s="128"/>
      <c r="G37" s="128"/>
      <c r="H37" s="125"/>
      <c r="I37" s="125"/>
      <c r="J37" s="125"/>
      <c r="K37" s="125"/>
      <c r="L37" s="175"/>
      <c r="M37" s="175"/>
      <c r="N37" s="175"/>
      <c r="O37" s="175"/>
      <c r="P37" s="175"/>
      <c r="Q37" s="175"/>
      <c r="R37" s="175"/>
      <c r="S37" s="130"/>
      <c r="T37" s="130"/>
      <c r="U37" s="112"/>
      <c r="V37" s="112"/>
      <c r="W37" s="112"/>
      <c r="X37" s="112"/>
      <c r="Y37" s="112"/>
      <c r="Z37" s="112"/>
      <c r="AA37" s="112"/>
      <c r="AB37" s="112"/>
    </row>
    <row r="38" spans="1:28" x14ac:dyDescent="0.2">
      <c r="A38" s="158"/>
      <c r="B38" s="151"/>
      <c r="C38" s="128" t="s">
        <v>62</v>
      </c>
      <c r="D38" s="127">
        <f>IF(F15="Yes",60,IF(G13="Yes",60,IF(F15="No",75,"")))</f>
        <v>75</v>
      </c>
      <c r="E38" s="128"/>
      <c r="F38" s="128"/>
      <c r="G38" s="128"/>
      <c r="H38" s="125"/>
      <c r="I38" s="125"/>
      <c r="J38" s="125"/>
      <c r="K38" s="125"/>
      <c r="L38" s="175"/>
      <c r="M38" s="175"/>
      <c r="N38" s="175"/>
      <c r="O38" s="175"/>
      <c r="P38" s="175"/>
      <c r="Q38" s="175"/>
      <c r="R38" s="175"/>
      <c r="S38" s="130"/>
      <c r="T38" s="130"/>
      <c r="U38" s="112"/>
      <c r="V38" s="112"/>
      <c r="W38" s="112"/>
      <c r="X38" s="112"/>
      <c r="Y38" s="112"/>
      <c r="Z38" s="112"/>
      <c r="AA38" s="112"/>
      <c r="AB38" s="112"/>
    </row>
    <row r="39" spans="1:28" x14ac:dyDescent="0.2">
      <c r="A39" s="158"/>
      <c r="B39" s="151"/>
      <c r="C39" s="128"/>
      <c r="D39" s="128"/>
      <c r="E39" s="128"/>
      <c r="F39" s="128"/>
      <c r="G39" s="128"/>
      <c r="H39" s="125"/>
      <c r="I39" s="125"/>
      <c r="J39" s="125"/>
      <c r="K39" s="125"/>
      <c r="L39" s="175"/>
      <c r="M39" s="175"/>
      <c r="N39" s="175"/>
      <c r="O39" s="175"/>
      <c r="P39" s="175"/>
      <c r="Q39" s="175"/>
      <c r="R39" s="175"/>
      <c r="S39" s="130"/>
      <c r="T39" s="130"/>
      <c r="U39" s="112"/>
      <c r="V39" s="112"/>
      <c r="W39" s="112"/>
      <c r="X39" s="112"/>
      <c r="Y39" s="112"/>
      <c r="Z39" s="112"/>
      <c r="AA39" s="112"/>
      <c r="AB39" s="112"/>
    </row>
    <row r="40" spans="1:28" x14ac:dyDescent="0.2">
      <c r="A40" s="158"/>
      <c r="B40" s="151"/>
      <c r="C40" s="128" t="str">
        <f>IF(AND(F5="Yes",G13="No",F9="Yes"),"PASS","FAIL")</f>
        <v>FAIL</v>
      </c>
      <c r="D40" s="128"/>
      <c r="E40" s="128"/>
      <c r="F40" s="128"/>
      <c r="G40" s="128"/>
      <c r="H40" s="125"/>
      <c r="I40" s="125"/>
      <c r="J40" s="125"/>
      <c r="K40" s="151"/>
      <c r="L40" s="72"/>
      <c r="M40" s="72"/>
      <c r="N40" s="72"/>
      <c r="O40" s="72"/>
      <c r="P40" s="72"/>
      <c r="Q40" s="72"/>
      <c r="R40" s="72"/>
      <c r="S40" s="72"/>
      <c r="T40" s="72"/>
    </row>
    <row r="41" spans="1:28" x14ac:dyDescent="0.2">
      <c r="A41" s="158"/>
      <c r="B41" s="151"/>
      <c r="C41" s="152" t="str">
        <f>IF(AND(F5="No",G13="No",F9="Yes"),"PASS","FAIL")</f>
        <v>FAIL</v>
      </c>
      <c r="D41" s="128" t="str">
        <f>IF(AND(F5="Yes",F9="Yes"),"FRBRT",IF(AND(F5="Yes",F9="No"),"FRHRT",IF(AND(F5="No",F9="Yes"),"VRBRT",IF(AND(F5="No",F9="No"),"VRHRT",""))))</f>
        <v/>
      </c>
      <c r="E41" s="128"/>
      <c r="F41" s="128"/>
      <c r="G41" s="128"/>
      <c r="H41" s="125"/>
      <c r="I41" s="125"/>
      <c r="J41" s="125"/>
      <c r="K41" s="151"/>
      <c r="L41" s="72"/>
      <c r="M41" s="72"/>
      <c r="N41" s="72"/>
      <c r="O41" s="72"/>
      <c r="P41" s="72"/>
      <c r="Q41" s="72"/>
      <c r="R41" s="72"/>
      <c r="S41" s="72"/>
      <c r="T41" s="72"/>
    </row>
    <row r="42" spans="1:28" x14ac:dyDescent="0.2">
      <c r="A42" s="158"/>
      <c r="B42" s="151"/>
      <c r="C42" s="128" t="str">
        <f>IF(AND(F5="Yes",G13="No",F9="No"),"PASS","FAIL")</f>
        <v>FAIL</v>
      </c>
      <c r="D42" s="128"/>
      <c r="E42" s="128"/>
      <c r="F42" s="128"/>
      <c r="G42" s="128"/>
      <c r="H42" s="125"/>
      <c r="I42" s="125"/>
      <c r="J42" s="125"/>
      <c r="K42" s="151"/>
      <c r="L42" s="72"/>
      <c r="M42" s="72"/>
      <c r="N42" s="72"/>
      <c r="O42" s="72"/>
      <c r="P42" s="72"/>
      <c r="Q42" s="72"/>
      <c r="R42" s="72"/>
      <c r="S42" s="72"/>
      <c r="T42" s="72"/>
    </row>
    <row r="43" spans="1:28" x14ac:dyDescent="0.2">
      <c r="A43" s="158"/>
      <c r="B43" s="151"/>
      <c r="C43" s="128" t="str">
        <f>IF(AND(F5="No",G13="No",F9="No"),"PASS","FAIL")</f>
        <v>FAIL</v>
      </c>
      <c r="D43" s="128"/>
      <c r="E43" s="128"/>
      <c r="F43" s="128"/>
      <c r="G43" s="128"/>
      <c r="H43" s="125"/>
      <c r="I43" s="125"/>
      <c r="J43" s="125"/>
      <c r="K43" s="151"/>
      <c r="L43" s="72"/>
      <c r="M43" s="72"/>
      <c r="N43" s="72"/>
      <c r="O43" s="72"/>
      <c r="P43" s="72"/>
      <c r="Q43" s="72"/>
      <c r="R43" s="72"/>
      <c r="S43" s="72"/>
      <c r="T43" s="72"/>
    </row>
    <row r="44" spans="1:28" x14ac:dyDescent="0.2">
      <c r="A44" s="158"/>
      <c r="B44" s="151"/>
      <c r="C44" s="125"/>
      <c r="D44" s="125"/>
      <c r="E44" s="125"/>
      <c r="F44" s="125"/>
      <c r="G44" s="125"/>
      <c r="H44" s="125"/>
      <c r="I44" s="125"/>
      <c r="J44" s="125"/>
      <c r="K44" s="151"/>
      <c r="L44" s="72"/>
      <c r="M44" s="72"/>
      <c r="N44" s="72"/>
      <c r="O44" s="72"/>
      <c r="P44" s="72"/>
      <c r="Q44" s="72"/>
      <c r="R44" s="72"/>
      <c r="S44" s="72"/>
      <c r="T44" s="72"/>
    </row>
    <row r="45" spans="1:28" x14ac:dyDescent="0.2">
      <c r="A45" s="158"/>
      <c r="B45" s="151"/>
      <c r="C45" s="125"/>
      <c r="D45" s="125"/>
      <c r="E45" s="125"/>
      <c r="F45" s="125"/>
      <c r="G45" s="125"/>
      <c r="H45" s="125"/>
      <c r="I45" s="125"/>
      <c r="J45" s="125"/>
      <c r="K45" s="151"/>
      <c r="L45" s="72"/>
      <c r="M45" s="72"/>
      <c r="N45" s="72"/>
      <c r="O45" s="72"/>
      <c r="P45" s="72"/>
      <c r="Q45" s="72"/>
      <c r="R45" s="72"/>
      <c r="S45" s="72"/>
      <c r="T45" s="72"/>
    </row>
    <row r="46" spans="1:28" x14ac:dyDescent="0.2">
      <c r="A46" s="158"/>
      <c r="B46" s="151"/>
      <c r="C46" s="125"/>
      <c r="D46" s="125"/>
      <c r="E46" s="125"/>
      <c r="F46" s="125"/>
      <c r="G46" s="125"/>
      <c r="H46" s="125"/>
      <c r="I46" s="125"/>
      <c r="J46" s="125"/>
      <c r="K46" s="151"/>
      <c r="L46" s="86"/>
      <c r="M46" s="86"/>
      <c r="N46" s="86"/>
      <c r="O46" s="86"/>
      <c r="P46" s="86"/>
      <c r="Q46" s="86"/>
      <c r="R46" s="86"/>
      <c r="S46" s="86"/>
    </row>
    <row r="47" spans="1:28" x14ac:dyDescent="0.2">
      <c r="A47" s="158"/>
      <c r="B47" s="86"/>
      <c r="C47" s="130"/>
      <c r="D47" s="130"/>
      <c r="E47" s="130"/>
      <c r="F47" s="130"/>
      <c r="G47" s="130"/>
      <c r="H47" s="130"/>
      <c r="I47" s="130"/>
      <c r="J47" s="130"/>
      <c r="K47" s="151"/>
      <c r="L47" s="86"/>
      <c r="M47" s="86"/>
      <c r="N47" s="86"/>
      <c r="O47" s="86"/>
      <c r="P47" s="86"/>
      <c r="Q47" s="86"/>
      <c r="R47" s="86"/>
      <c r="S47" s="86"/>
    </row>
    <row r="48" spans="1:28" x14ac:dyDescent="0.2">
      <c r="A48" s="158"/>
      <c r="B48" s="86"/>
      <c r="C48" s="130"/>
      <c r="D48" s="130"/>
      <c r="E48" s="130"/>
      <c r="F48" s="130"/>
      <c r="G48" s="130"/>
      <c r="H48" s="130"/>
      <c r="I48" s="130"/>
      <c r="J48" s="130"/>
      <c r="K48" s="151"/>
      <c r="L48" s="86"/>
      <c r="M48" s="86"/>
      <c r="N48" s="86"/>
      <c r="O48" s="86"/>
      <c r="P48" s="86"/>
      <c r="Q48" s="86"/>
      <c r="R48" s="86"/>
      <c r="S48" s="86"/>
    </row>
    <row r="49" spans="1:19" x14ac:dyDescent="0.2">
      <c r="A49" s="158"/>
      <c r="B49" s="86"/>
      <c r="C49" s="130"/>
      <c r="D49" s="130"/>
      <c r="E49" s="130"/>
      <c r="F49" s="130"/>
      <c r="G49" s="130"/>
      <c r="H49" s="130"/>
      <c r="I49" s="130"/>
      <c r="J49" s="130"/>
      <c r="K49" s="151"/>
      <c r="L49" s="86"/>
      <c r="M49" s="86"/>
      <c r="N49" s="86"/>
      <c r="O49" s="86"/>
      <c r="P49" s="86"/>
      <c r="Q49" s="86"/>
      <c r="R49" s="86"/>
      <c r="S49" s="86"/>
    </row>
    <row r="50" spans="1:19" x14ac:dyDescent="0.2">
      <c r="A50" s="158"/>
      <c r="B50" s="86"/>
      <c r="C50" s="130"/>
      <c r="D50" s="130"/>
      <c r="E50" s="130"/>
      <c r="F50" s="130"/>
      <c r="G50" s="130"/>
      <c r="H50" s="130"/>
      <c r="I50" s="130"/>
      <c r="J50" s="130"/>
      <c r="K50" s="151"/>
      <c r="L50" s="86"/>
      <c r="M50" s="86"/>
      <c r="N50" s="86"/>
      <c r="O50" s="86"/>
      <c r="P50" s="86"/>
      <c r="Q50" s="86"/>
      <c r="R50" s="86"/>
      <c r="S50" s="86"/>
    </row>
    <row r="51" spans="1:19" x14ac:dyDescent="0.2">
      <c r="A51" s="158"/>
      <c r="B51" s="86"/>
      <c r="C51" s="130"/>
      <c r="D51" s="130"/>
      <c r="E51" s="130"/>
      <c r="F51" s="130"/>
      <c r="G51" s="130"/>
      <c r="H51" s="130"/>
      <c r="I51" s="130"/>
      <c r="J51" s="130"/>
      <c r="K51" s="86"/>
      <c r="L51" s="86"/>
      <c r="M51" s="86"/>
      <c r="N51" s="86"/>
      <c r="O51" s="86"/>
      <c r="P51" s="86"/>
      <c r="Q51" s="86"/>
      <c r="R51" s="86"/>
      <c r="S51" s="86"/>
    </row>
    <row r="52" spans="1:19" x14ac:dyDescent="0.2">
      <c r="A52" s="158"/>
      <c r="B52" s="86"/>
      <c r="C52" s="130"/>
      <c r="D52" s="130"/>
      <c r="E52" s="130"/>
      <c r="F52" s="130"/>
      <c r="G52" s="130"/>
      <c r="H52" s="130"/>
      <c r="I52" s="130"/>
      <c r="J52" s="130"/>
      <c r="K52" s="86"/>
      <c r="L52" s="86"/>
      <c r="M52" s="86"/>
      <c r="N52" s="86"/>
      <c r="O52" s="86"/>
      <c r="P52" s="86"/>
      <c r="Q52" s="86"/>
      <c r="R52" s="86"/>
      <c r="S52" s="86"/>
    </row>
    <row r="53" spans="1:19" x14ac:dyDescent="0.2">
      <c r="A53" s="158"/>
      <c r="B53" s="86"/>
      <c r="C53" s="130"/>
      <c r="D53" s="130"/>
      <c r="E53" s="130"/>
      <c r="F53" s="130"/>
      <c r="G53" s="130"/>
      <c r="H53" s="130"/>
      <c r="I53" s="130"/>
      <c r="J53" s="130"/>
    </row>
    <row r="54" spans="1:19" x14ac:dyDescent="0.2">
      <c r="A54" s="158"/>
      <c r="B54" s="86"/>
      <c r="C54" s="130"/>
      <c r="D54" s="130"/>
      <c r="E54" s="130"/>
      <c r="F54" s="130"/>
      <c r="G54" s="130"/>
      <c r="H54" s="130"/>
      <c r="I54" s="130"/>
      <c r="J54" s="130"/>
    </row>
    <row r="55" spans="1:19" x14ac:dyDescent="0.2">
      <c r="A55" s="158"/>
      <c r="B55" s="86"/>
      <c r="C55" s="130"/>
      <c r="D55" s="130"/>
      <c r="E55" s="130"/>
      <c r="F55" s="130"/>
      <c r="G55" s="130"/>
      <c r="H55" s="130"/>
      <c r="I55" s="130"/>
      <c r="J55" s="130"/>
    </row>
    <row r="56" spans="1:19" x14ac:dyDescent="0.2">
      <c r="A56" s="158"/>
      <c r="B56" s="86"/>
      <c r="C56" s="130"/>
      <c r="D56" s="130"/>
      <c r="E56" s="130"/>
      <c r="F56" s="130"/>
      <c r="G56" s="130"/>
      <c r="H56" s="130"/>
      <c r="I56" s="130"/>
      <c r="J56" s="130"/>
    </row>
    <row r="57" spans="1:19" x14ac:dyDescent="0.2">
      <c r="A57" s="158"/>
      <c r="B57" s="86"/>
      <c r="C57" s="130"/>
      <c r="D57" s="130"/>
      <c r="E57" s="130"/>
      <c r="F57" s="130"/>
      <c r="G57" s="130"/>
      <c r="H57" s="130"/>
      <c r="I57" s="130"/>
      <c r="J57" s="130"/>
    </row>
    <row r="58" spans="1:19" x14ac:dyDescent="0.2">
      <c r="A58" s="158"/>
      <c r="B58" s="86"/>
      <c r="C58" s="130"/>
      <c r="D58" s="130"/>
      <c r="E58" s="130"/>
      <c r="F58" s="130"/>
      <c r="G58" s="130"/>
      <c r="H58" s="130"/>
      <c r="I58" s="130"/>
      <c r="J58" s="130"/>
    </row>
    <row r="59" spans="1:19" x14ac:dyDescent="0.2">
      <c r="A59" s="158"/>
      <c r="B59" s="86"/>
      <c r="C59" s="130"/>
      <c r="D59" s="130"/>
      <c r="E59" s="130"/>
      <c r="F59" s="130"/>
      <c r="G59" s="130"/>
      <c r="H59" s="130"/>
      <c r="I59" s="130"/>
      <c r="J59" s="130"/>
    </row>
    <row r="60" spans="1:19" x14ac:dyDescent="0.2">
      <c r="A60" s="158"/>
      <c r="B60" s="86"/>
      <c r="C60" s="130"/>
      <c r="D60" s="130"/>
      <c r="E60" s="130"/>
      <c r="F60" s="130"/>
      <c r="G60" s="130"/>
      <c r="H60" s="130"/>
      <c r="I60" s="130"/>
      <c r="J60" s="130"/>
    </row>
    <row r="61" spans="1:19" x14ac:dyDescent="0.2">
      <c r="B61" s="86"/>
      <c r="C61" s="130"/>
      <c r="D61" s="130"/>
      <c r="E61" s="130"/>
      <c r="F61" s="130"/>
      <c r="G61" s="130"/>
      <c r="H61" s="130"/>
      <c r="I61" s="130"/>
      <c r="J61" s="130"/>
    </row>
    <row r="62" spans="1:19" x14ac:dyDescent="0.2">
      <c r="B62" s="86"/>
      <c r="C62" s="130"/>
      <c r="D62" s="130"/>
      <c r="E62" s="130"/>
      <c r="F62" s="130"/>
      <c r="G62" s="130"/>
      <c r="H62" s="130"/>
      <c r="I62" s="130"/>
      <c r="J62" s="130"/>
    </row>
    <row r="63" spans="1:19" x14ac:dyDescent="0.2">
      <c r="C63" s="112"/>
      <c r="D63" s="112"/>
      <c r="E63" s="112"/>
      <c r="F63" s="112"/>
      <c r="G63" s="112"/>
      <c r="H63" s="112"/>
      <c r="I63" s="112"/>
      <c r="J63" s="112"/>
    </row>
    <row r="64" spans="1:19" x14ac:dyDescent="0.2">
      <c r="C64" s="112"/>
      <c r="D64" s="112"/>
      <c r="E64" s="112"/>
      <c r="F64" s="112"/>
      <c r="G64" s="112"/>
      <c r="H64" s="112"/>
      <c r="I64" s="112"/>
      <c r="J64" s="112"/>
    </row>
    <row r="65" spans="3:10" x14ac:dyDescent="0.2">
      <c r="C65" s="112"/>
      <c r="D65" s="112"/>
      <c r="E65" s="112"/>
      <c r="F65" s="112"/>
      <c r="G65" s="112"/>
      <c r="H65" s="112"/>
      <c r="I65" s="112"/>
      <c r="J65" s="112"/>
    </row>
    <row r="66" spans="3:10" x14ac:dyDescent="0.2">
      <c r="C66" s="112"/>
      <c r="D66" s="112"/>
      <c r="E66" s="112"/>
      <c r="F66" s="112"/>
      <c r="G66" s="112"/>
      <c r="H66" s="112"/>
      <c r="I66" s="112"/>
      <c r="J66" s="112"/>
    </row>
  </sheetData>
  <sheetProtection password="C172" sheet="1" selectLockedCells="1"/>
  <mergeCells count="25">
    <mergeCell ref="D3:E3"/>
    <mergeCell ref="F3:H3"/>
    <mergeCell ref="C7:D7"/>
    <mergeCell ref="D21:E21"/>
    <mergeCell ref="C26:G26"/>
    <mergeCell ref="C5:E5"/>
    <mergeCell ref="H25:H26"/>
    <mergeCell ref="B3:C3"/>
    <mergeCell ref="L3:R39"/>
    <mergeCell ref="B30:I30"/>
    <mergeCell ref="D17:E17"/>
    <mergeCell ref="B32:I32"/>
    <mergeCell ref="B33:I33"/>
    <mergeCell ref="C9:E9"/>
    <mergeCell ref="G17:I17"/>
    <mergeCell ref="C25:F25"/>
    <mergeCell ref="C13:F13"/>
    <mergeCell ref="G21:H21"/>
    <mergeCell ref="B34:I34"/>
    <mergeCell ref="C15:E15"/>
    <mergeCell ref="E10:F10"/>
    <mergeCell ref="B4:I4"/>
    <mergeCell ref="D19:E19"/>
    <mergeCell ref="C29:H29"/>
    <mergeCell ref="C28:I28"/>
  </mergeCells>
  <conditionalFormatting sqref="F15">
    <cfRule type="containsBlanks" dxfId="16" priority="26">
      <formula>LEN(TRIM(F15))=0</formula>
    </cfRule>
  </conditionalFormatting>
  <conditionalFormatting sqref="F5">
    <cfRule type="containsBlanks" dxfId="15" priority="22">
      <formula>LEN(TRIM(F5))=0</formula>
    </cfRule>
  </conditionalFormatting>
  <conditionalFormatting sqref="H25">
    <cfRule type="expression" dxfId="14" priority="12" stopIfTrue="1">
      <formula>ISBLANK($D$21)</formula>
    </cfRule>
    <cfRule type="expression" dxfId="13" priority="13" stopIfTrue="1">
      <formula>ISBLANK($D$19)</formula>
    </cfRule>
    <cfRule type="expression" dxfId="12" priority="14" stopIfTrue="1">
      <formula>ISBLANK($D$17)</formula>
    </cfRule>
    <cfRule type="expression" dxfId="3" priority="15" stopIfTrue="1">
      <formula>ISBLANK($F$15)</formula>
    </cfRule>
    <cfRule type="expression" dxfId="2" priority="16" stopIfTrue="1">
      <formula>ISBLANK($F$5)</formula>
    </cfRule>
    <cfRule type="containsText" dxfId="1" priority="20" stopIfTrue="1" operator="containsText" text="FAIL">
      <formula>NOT(ISERROR(SEARCH("FAIL",H25)))</formula>
    </cfRule>
    <cfRule type="containsText" dxfId="0" priority="21" stopIfTrue="1" operator="containsText" text="PASS">
      <formula>NOT(ISERROR(SEARCH("PASS",H25)))</formula>
    </cfRule>
  </conditionalFormatting>
  <conditionalFormatting sqref="F19">
    <cfRule type="expression" dxfId="11" priority="9" stopIfTrue="1">
      <formula>ISBLANK($D$19)</formula>
    </cfRule>
  </conditionalFormatting>
  <conditionalFormatting sqref="E7">
    <cfRule type="containsBlanks" dxfId="10" priority="8" stopIfTrue="1">
      <formula>LEN(TRIM(E7))=0</formula>
    </cfRule>
  </conditionalFormatting>
  <conditionalFormatting sqref="F9">
    <cfRule type="containsBlanks" dxfId="9" priority="7">
      <formula>LEN(TRIM(F9))=0</formula>
    </cfRule>
  </conditionalFormatting>
  <conditionalFormatting sqref="G7:H7">
    <cfRule type="expression" dxfId="8" priority="6" stopIfTrue="1">
      <formula>$F$5="Yes"</formula>
    </cfRule>
  </conditionalFormatting>
  <conditionalFormatting sqref="D17:E17">
    <cfRule type="expression" dxfId="7" priority="4" stopIfTrue="1">
      <formula>$D$17=""</formula>
    </cfRule>
  </conditionalFormatting>
  <conditionalFormatting sqref="D19:E19">
    <cfRule type="expression" dxfId="6" priority="3" stopIfTrue="1">
      <formula>$D$19=""</formula>
    </cfRule>
  </conditionalFormatting>
  <conditionalFormatting sqref="D21:E21">
    <cfRule type="expression" dxfId="5" priority="2" stopIfTrue="1">
      <formula>$D$21=""</formula>
    </cfRule>
  </conditionalFormatting>
  <conditionalFormatting sqref="G13">
    <cfRule type="containsBlanks" dxfId="4" priority="1" stopIfTrue="1">
      <formula>LEN(TRIM(G13))=0</formula>
    </cfRule>
  </conditionalFormatting>
  <dataValidations count="4">
    <dataValidation type="list" allowBlank="1" showInputMessage="1" showErrorMessage="1" sqref="F15 F5 F9 G13">
      <formula1>"Yes,No"</formula1>
    </dataValidation>
    <dataValidation type="whole" operator="greaterThan" allowBlank="1" showInputMessage="1" showErrorMessage="1" sqref="D19:E19">
      <formula1>99999</formula1>
    </dataValidation>
    <dataValidation type="decimal" operator="greaterThan" allowBlank="1" showInputMessage="1" showErrorMessage="1" sqref="F17">
      <formula1>75</formula1>
    </dataValidation>
    <dataValidation type="whole" operator="greaterThan" allowBlank="1" showInputMessage="1" showErrorMessage="1" sqref="D17:E17">
      <formula1>166999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Drop down lists</vt:lpstr>
      <vt:lpstr>ONS data</vt:lpstr>
      <vt:lpstr>Affordability Calculator</vt:lpstr>
      <vt:lpstr>Sheet2</vt:lpstr>
      <vt:lpstr>Sheet3</vt:lpstr>
    </vt:vector>
  </TitlesOfParts>
  <Company>Rowe Cohen Solicitors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moppo</dc:creator>
  <cp:lastModifiedBy>Katie Broome</cp:lastModifiedBy>
  <cp:lastPrinted>2022-04-07T10:42:13Z</cp:lastPrinted>
  <dcterms:created xsi:type="dcterms:W3CDTF">2005-12-08T12:09:14Z</dcterms:created>
  <dcterms:modified xsi:type="dcterms:W3CDTF">2024-11-11T16:48:41Z</dcterms:modified>
</cp:coreProperties>
</file>